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https://dbaconsultancy-my.sharepoint.com/personal/cdenneboom_valuepro_nl/Documents/CF/Rekenmodellen/DCF basisrekenmodel/"/>
    </mc:Choice>
  </mc:AlternateContent>
  <xr:revisionPtr revIDLastSave="4" documentId="8_{3218D207-814B-4701-A73E-D2C1C3F28AE5}" xr6:coauthVersionLast="47" xr6:coauthVersionMax="47" xr10:uidLastSave="{6838415B-5A0F-4C71-95E5-C021FD99801F}"/>
  <bookViews>
    <workbookView xWindow="-120" yWindow="-120" windowWidth="29040" windowHeight="17520" tabRatio="701" activeTab="4" xr2:uid="{00000000-000D-0000-FFFF-FFFF00000000}"/>
  </bookViews>
  <sheets>
    <sheet name="Uitleg" sheetId="6" r:id="rId1"/>
    <sheet name="Invoer algemeen en balans" sheetId="9" r:id="rId2"/>
    <sheet name="Invoer exploitatie" sheetId="11" r:id="rId3"/>
    <sheet name="Vrije kasstroom" sheetId="13" r:id="rId4"/>
    <sheet name="Rendementseis" sheetId="1" r:id="rId5"/>
    <sheet name="Illiq-opslag" sheetId="14" r:id="rId6"/>
    <sheet name="DCFM" sheetId="3" r:id="rId7"/>
    <sheet name="APV" sheetId="4" r:id="rId8"/>
    <sheet name="Financiering" sheetId="5" r:id="rId9"/>
    <sheet name="Activadeal" sheetId="7" r:id="rId10"/>
    <sheet name="Afkap rw" sheetId="8" r:id="rId11"/>
  </sheets>
  <definedNames>
    <definedName name="_xlnm.Print_Area" localSheetId="9">Activadeal!$A$1:$F$28</definedName>
    <definedName name="_xlnm.Print_Area" localSheetId="10">'Afkap rw'!$A$1:$B$11</definedName>
    <definedName name="_xlnm.Print_Area" localSheetId="7">APV!$A$1:$I$37</definedName>
    <definedName name="_xlnm.Print_Area" localSheetId="6">DCFM!$A$1:$I$31</definedName>
    <definedName name="_xlnm.Print_Area" localSheetId="8">Financiering!$A$1:$K$73</definedName>
    <definedName name="_xlnm.Print_Area" localSheetId="1">'Invoer algemeen en balans'!$A$1:$J$75</definedName>
    <definedName name="_xlnm.Print_Area" localSheetId="2">'Invoer exploitatie'!$A$1:$J$101</definedName>
    <definedName name="_xlnm.Print_Area" localSheetId="4">Rendementseis!$A$1:$D$35</definedName>
    <definedName name="_xlnm.Print_Area" localSheetId="3">'Vrije kasstroom'!$A$3:$J$16</definedName>
    <definedName name="_xlnm.Print_Titles" localSheetId="8">Financiering!$18:$18</definedName>
    <definedName name="_xlnm.Print_Titles" localSheetId="2">'Invoer exploitatie'!$1:$2</definedName>
    <definedName name="inflatie" localSheetId="1">'Invoer algemeen en balans'!$D$7</definedName>
    <definedName name="inflatie" localSheetId="2">'Invoer exploitatie'!#REF!</definedName>
    <definedName name="inflatie" localSheetId="3">'Vrije kasstroom'!#REF!</definedName>
    <definedName name="inflatie">#REF!</definedName>
    <definedName name="keu" localSheetId="5">#REF!</definedName>
    <definedName name="keu">Rendementseis!$C$15</definedName>
    <definedName name="tax" localSheetId="5">#REF!</definedName>
    <definedName name="tax">Rendementseis!$C$30</definedName>
    <definedName name="wacc" localSheetId="5">#REF!</definedName>
    <definedName name="wacc">DCFM!$C$3</definedName>
    <definedName name="waccrest">Rendementseis!$C$34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9" l="1"/>
  <c r="C19" i="9"/>
  <c r="B18" i="9"/>
  <c r="C18" i="9"/>
  <c r="H96" i="11" l="1"/>
  <c r="B38" i="14"/>
  <c r="B37" i="14"/>
  <c r="B36" i="14"/>
  <c r="E35" i="14"/>
  <c r="F35" i="14" s="1"/>
  <c r="G35" i="14" s="1"/>
  <c r="G4" i="14"/>
  <c r="G8" i="14"/>
  <c r="A15" i="14"/>
  <c r="F76" i="11"/>
  <c r="G76" i="11"/>
  <c r="H76" i="11"/>
  <c r="I76" i="11"/>
  <c r="J76" i="11"/>
  <c r="E76" i="11"/>
  <c r="H98" i="11"/>
  <c r="I98" i="11" s="1"/>
  <c r="J98" i="11" s="1"/>
  <c r="E55" i="9"/>
  <c r="F55" i="9" s="1"/>
  <c r="D10" i="9"/>
  <c r="I25" i="3" s="1"/>
  <c r="C5" i="11"/>
  <c r="D5" i="11"/>
  <c r="D21" i="9"/>
  <c r="C21" i="9"/>
  <c r="B21" i="9"/>
  <c r="E32" i="11"/>
  <c r="F32" i="11" s="1"/>
  <c r="G32" i="11" s="1"/>
  <c r="H32" i="11" s="1"/>
  <c r="I32" i="11" s="1"/>
  <c r="J32" i="11" s="1"/>
  <c r="E27" i="9"/>
  <c r="D13" i="9"/>
  <c r="I26" i="3" s="1"/>
  <c r="A2" i="8"/>
  <c r="A2" i="7"/>
  <c r="A18" i="5"/>
  <c r="A6" i="4"/>
  <c r="A6" i="3"/>
  <c r="A3" i="13"/>
  <c r="A20" i="11"/>
  <c r="A22" i="9"/>
  <c r="C6" i="1"/>
  <c r="G5" i="14" s="1"/>
  <c r="D15" i="11"/>
  <c r="E15" i="11" s="1"/>
  <c r="D14" i="11"/>
  <c r="E14" i="11" s="1"/>
  <c r="D13" i="11"/>
  <c r="E13" i="11" s="1"/>
  <c r="D12" i="11"/>
  <c r="E12" i="11"/>
  <c r="E28" i="11" s="1"/>
  <c r="D11" i="11"/>
  <c r="A7" i="8"/>
  <c r="F85" i="11"/>
  <c r="F31" i="9" s="1"/>
  <c r="E86" i="11"/>
  <c r="E87" i="11"/>
  <c r="E37" i="9"/>
  <c r="E82" i="11"/>
  <c r="F82" i="11" s="1"/>
  <c r="G82" i="11" s="1"/>
  <c r="H82" i="11" s="1"/>
  <c r="A31" i="11"/>
  <c r="E39" i="9"/>
  <c r="F39" i="9" s="1"/>
  <c r="G39" i="9" s="1"/>
  <c r="H39" i="9" s="1"/>
  <c r="I39" i="9" s="1"/>
  <c r="J39" i="9" s="1"/>
  <c r="E36" i="9"/>
  <c r="E38" i="9" s="1"/>
  <c r="F36" i="9"/>
  <c r="G36" i="9" s="1"/>
  <c r="H36" i="9" s="1"/>
  <c r="I36" i="9" s="1"/>
  <c r="J36" i="9" s="1"/>
  <c r="E33" i="9"/>
  <c r="E30" i="9"/>
  <c r="F30" i="9" s="1"/>
  <c r="G30" i="9" s="1"/>
  <c r="H30" i="9" s="1"/>
  <c r="E23" i="9"/>
  <c r="F23" i="9" s="1"/>
  <c r="J95" i="11"/>
  <c r="F75" i="9"/>
  <c r="G75" i="9"/>
  <c r="H75" i="9" s="1"/>
  <c r="I75" i="9" s="1"/>
  <c r="J75" i="9" s="1"/>
  <c r="B14" i="11"/>
  <c r="C14" i="11"/>
  <c r="C88" i="11"/>
  <c r="D88" i="11"/>
  <c r="B88" i="11"/>
  <c r="C74" i="11"/>
  <c r="B60" i="11"/>
  <c r="D54" i="11"/>
  <c r="D47" i="11"/>
  <c r="B47" i="11"/>
  <c r="F97" i="11"/>
  <c r="G97" i="11"/>
  <c r="H97" i="11" s="1"/>
  <c r="I97" i="11" s="1"/>
  <c r="J97" i="11" s="1"/>
  <c r="I96" i="11"/>
  <c r="J96" i="11" s="1"/>
  <c r="E66" i="9"/>
  <c r="F66" i="9" s="1"/>
  <c r="G66" i="9" s="1"/>
  <c r="H66" i="9" s="1"/>
  <c r="I66" i="9" s="1"/>
  <c r="J66" i="9" s="1"/>
  <c r="E65" i="9"/>
  <c r="F65" i="9" s="1"/>
  <c r="G65" i="9" s="1"/>
  <c r="H65" i="9" s="1"/>
  <c r="I65" i="9" s="1"/>
  <c r="J65" i="9" s="1"/>
  <c r="E59" i="9"/>
  <c r="F59" i="9" s="1"/>
  <c r="G59" i="9" s="1"/>
  <c r="H59" i="9" s="1"/>
  <c r="I59" i="9" s="1"/>
  <c r="J59" i="9" s="1"/>
  <c r="E58" i="9"/>
  <c r="F58" i="9" s="1"/>
  <c r="G58" i="9" s="1"/>
  <c r="H58" i="9" s="1"/>
  <c r="I58" i="9" s="1"/>
  <c r="J58" i="9" s="1"/>
  <c r="E48" i="9"/>
  <c r="F48" i="9" s="1"/>
  <c r="G48" i="9" s="1"/>
  <c r="H48" i="9" s="1"/>
  <c r="I48" i="9" s="1"/>
  <c r="J48" i="9" s="1"/>
  <c r="C64" i="9"/>
  <c r="C70" i="9" s="1"/>
  <c r="D64" i="9"/>
  <c r="D70" i="9" s="1"/>
  <c r="B64" i="9"/>
  <c r="B68" i="9" s="1"/>
  <c r="B20" i="9"/>
  <c r="E44" i="9"/>
  <c r="F44" i="9" s="1"/>
  <c r="G44" i="9" s="1"/>
  <c r="H44" i="9" s="1"/>
  <c r="I44" i="9" s="1"/>
  <c r="J44" i="9" s="1"/>
  <c r="E43" i="9"/>
  <c r="F43" i="9"/>
  <c r="G43" i="9" s="1"/>
  <c r="H43" i="9" s="1"/>
  <c r="I43" i="9" s="1"/>
  <c r="J43" i="9" s="1"/>
  <c r="C50" i="9"/>
  <c r="D50" i="9"/>
  <c r="D69" i="9" s="1"/>
  <c r="B50" i="9"/>
  <c r="B69" i="9" s="1"/>
  <c r="E84" i="11"/>
  <c r="D3" i="13"/>
  <c r="E3" i="13"/>
  <c r="F3" i="13" s="1"/>
  <c r="G3" i="13" s="1"/>
  <c r="H3" i="13" s="1"/>
  <c r="I3" i="13" s="1"/>
  <c r="J3" i="13" s="1"/>
  <c r="E67" i="9"/>
  <c r="F67" i="9" s="1"/>
  <c r="G67" i="9" s="1"/>
  <c r="H67" i="9" s="1"/>
  <c r="I67" i="9" s="1"/>
  <c r="J67" i="9" s="1"/>
  <c r="C15" i="11"/>
  <c r="J5" i="13"/>
  <c r="G23" i="5" s="1"/>
  <c r="I5" i="13"/>
  <c r="F12" i="3"/>
  <c r="F23" i="5"/>
  <c r="H5" i="13"/>
  <c r="G5" i="13"/>
  <c r="D12" i="3"/>
  <c r="F5" i="13"/>
  <c r="C12" i="4" s="1"/>
  <c r="E5" i="13"/>
  <c r="B12" i="3"/>
  <c r="A28" i="11"/>
  <c r="A29" i="11"/>
  <c r="A30" i="11"/>
  <c r="A27" i="11"/>
  <c r="A12" i="11"/>
  <c r="A13" i="11"/>
  <c r="A14" i="11"/>
  <c r="A15" i="11"/>
  <c r="A11" i="11"/>
  <c r="A6" i="11"/>
  <c r="A7" i="11"/>
  <c r="A8" i="11"/>
  <c r="A9" i="11"/>
  <c r="A5" i="11"/>
  <c r="C54" i="11"/>
  <c r="B54" i="11"/>
  <c r="D60" i="11"/>
  <c r="C66" i="11"/>
  <c r="D66" i="11"/>
  <c r="B66" i="11"/>
  <c r="C47" i="11"/>
  <c r="C78" i="11" s="1"/>
  <c r="C34" i="11"/>
  <c r="D34" i="11"/>
  <c r="D19" i="9"/>
  <c r="E19" i="9" s="1"/>
  <c r="F19" i="9"/>
  <c r="B34" i="11"/>
  <c r="B12" i="11"/>
  <c r="C12" i="11"/>
  <c r="B13" i="11"/>
  <c r="C13" i="11"/>
  <c r="B15" i="11"/>
  <c r="B11" i="11"/>
  <c r="C11" i="11"/>
  <c r="D6" i="11"/>
  <c r="D7" i="11"/>
  <c r="D8" i="11"/>
  <c r="D9" i="11"/>
  <c r="C6" i="11"/>
  <c r="C7" i="11"/>
  <c r="C8" i="11"/>
  <c r="C9" i="11"/>
  <c r="D26" i="11"/>
  <c r="D35" i="11" s="1"/>
  <c r="B26" i="11"/>
  <c r="E3" i="11"/>
  <c r="D15" i="9"/>
  <c r="D22" i="9" s="1"/>
  <c r="E93" i="11"/>
  <c r="B22" i="4" s="1"/>
  <c r="C4" i="5"/>
  <c r="C5" i="5"/>
  <c r="I30" i="4"/>
  <c r="I24" i="3"/>
  <c r="C6" i="5"/>
  <c r="F31" i="5" s="1"/>
  <c r="E47" i="9"/>
  <c r="F47" i="9" s="1"/>
  <c r="G47" i="9" s="1"/>
  <c r="H47" i="9" s="1"/>
  <c r="I47" i="9" s="1"/>
  <c r="J47" i="9" s="1"/>
  <c r="C8" i="1"/>
  <c r="C9" i="1"/>
  <c r="C10" i="1"/>
  <c r="C11" i="1"/>
  <c r="C12" i="1"/>
  <c r="C13" i="1"/>
  <c r="C7" i="1"/>
  <c r="B19" i="7"/>
  <c r="B18" i="7"/>
  <c r="C26" i="7"/>
  <c r="C4" i="3"/>
  <c r="B33" i="5"/>
  <c r="C33" i="5"/>
  <c r="D33" i="5"/>
  <c r="E33" i="5"/>
  <c r="F33" i="5" s="1"/>
  <c r="G33" i="5" s="1"/>
  <c r="H33" i="5" s="1"/>
  <c r="I33" i="5" s="1"/>
  <c r="J33" i="5" s="1"/>
  <c r="K33" i="5" s="1"/>
  <c r="C27" i="1"/>
  <c r="B17" i="7"/>
  <c r="B12" i="7"/>
  <c r="C26" i="11"/>
  <c r="C17" i="11"/>
  <c r="C68" i="9"/>
  <c r="C20" i="9"/>
  <c r="C25" i="7"/>
  <c r="D74" i="11"/>
  <c r="C60" i="11"/>
  <c r="B74" i="11"/>
  <c r="E12" i="4"/>
  <c r="E28" i="9"/>
  <c r="E29" i="9" s="1"/>
  <c r="F84" i="11"/>
  <c r="F28" i="9" s="1"/>
  <c r="B12" i="4"/>
  <c r="F33" i="9"/>
  <c r="G33" i="9"/>
  <c r="H33" i="9" s="1"/>
  <c r="I33" i="9"/>
  <c r="J33" i="9"/>
  <c r="F87" i="11"/>
  <c r="E13" i="13"/>
  <c r="F12" i="4"/>
  <c r="D12" i="4"/>
  <c r="D23" i="5"/>
  <c r="F27" i="9"/>
  <c r="G27" i="9" s="1"/>
  <c r="H27" i="9"/>
  <c r="I27" i="9"/>
  <c r="J27" i="9" s="1"/>
  <c r="G12" i="3"/>
  <c r="E12" i="3"/>
  <c r="E23" i="5"/>
  <c r="G87" i="11"/>
  <c r="G37" i="9" s="1"/>
  <c r="F37" i="9"/>
  <c r="F38" i="9" s="1"/>
  <c r="G38" i="9" s="1"/>
  <c r="C23" i="5"/>
  <c r="B23" i="5"/>
  <c r="F24" i="9"/>
  <c r="F25" i="9" s="1"/>
  <c r="F13" i="11"/>
  <c r="F29" i="11" s="1"/>
  <c r="G13" i="11"/>
  <c r="E29" i="11"/>
  <c r="E24" i="9"/>
  <c r="E25" i="9"/>
  <c r="F12" i="11"/>
  <c r="E31" i="9"/>
  <c r="E32" i="9" s="1"/>
  <c r="F86" i="11"/>
  <c r="F34" i="9"/>
  <c r="E88" i="11"/>
  <c r="E34" i="9"/>
  <c r="E35" i="9"/>
  <c r="F35" i="9" s="1"/>
  <c r="G24" i="9"/>
  <c r="G86" i="11"/>
  <c r="E11" i="11"/>
  <c r="E27" i="11" s="1"/>
  <c r="D16" i="9"/>
  <c r="E16" i="9"/>
  <c r="F16" i="9" s="1"/>
  <c r="G23" i="9"/>
  <c r="E10" i="13"/>
  <c r="B27" i="5"/>
  <c r="B10" i="4"/>
  <c r="B16" i="4" s="1"/>
  <c r="B10" i="3"/>
  <c r="B22" i="5"/>
  <c r="B16" i="3"/>
  <c r="G84" i="11"/>
  <c r="G28" i="9" s="1"/>
  <c r="F88" i="11"/>
  <c r="G12" i="4"/>
  <c r="C12" i="3"/>
  <c r="H84" i="11"/>
  <c r="D16" i="11"/>
  <c r="D68" i="9"/>
  <c r="D20" i="9"/>
  <c r="B39" i="14"/>
  <c r="B40" i="14" s="1"/>
  <c r="D35" i="14"/>
  <c r="C35" i="14" s="1"/>
  <c r="B17" i="11"/>
  <c r="C16" i="9"/>
  <c r="B35" i="11"/>
  <c r="B16" i="9"/>
  <c r="B16" i="11"/>
  <c r="D17" i="9"/>
  <c r="E17" i="9"/>
  <c r="F17" i="9"/>
  <c r="C69" i="9"/>
  <c r="C18" i="11"/>
  <c r="B19" i="11"/>
  <c r="B18" i="11"/>
  <c r="D18" i="11"/>
  <c r="I31" i="4"/>
  <c r="D78" i="11"/>
  <c r="D80" i="11"/>
  <c r="D90" i="11" s="1"/>
  <c r="D19" i="11"/>
  <c r="F11" i="11"/>
  <c r="G11" i="11" s="1"/>
  <c r="G27" i="11" s="1"/>
  <c r="C10" i="11"/>
  <c r="C16" i="11"/>
  <c r="C35" i="11"/>
  <c r="D10" i="11"/>
  <c r="G19" i="9"/>
  <c r="H19" i="9" s="1"/>
  <c r="D71" i="9"/>
  <c r="F27" i="11"/>
  <c r="E37" i="11"/>
  <c r="C17" i="9"/>
  <c r="C19" i="11"/>
  <c r="E38" i="11"/>
  <c r="E62" i="9"/>
  <c r="E39" i="11"/>
  <c r="F38" i="11"/>
  <c r="E63" i="9"/>
  <c r="H11" i="11"/>
  <c r="I11" i="11" s="1"/>
  <c r="J11" i="11" s="1"/>
  <c r="I19" i="9"/>
  <c r="J19" i="9" s="1"/>
  <c r="J27" i="11"/>
  <c r="C15" i="1" l="1"/>
  <c r="F12" i="7" s="1"/>
  <c r="E12" i="7" s="1"/>
  <c r="C15" i="9"/>
  <c r="D2" i="11"/>
  <c r="E15" i="9"/>
  <c r="C80" i="11"/>
  <c r="E53" i="11"/>
  <c r="E62" i="11"/>
  <c r="E59" i="11"/>
  <c r="E7" i="11"/>
  <c r="E23" i="11" s="1"/>
  <c r="E8" i="11"/>
  <c r="E24" i="11" s="1"/>
  <c r="E69" i="11"/>
  <c r="E56" i="11"/>
  <c r="E9" i="11"/>
  <c r="E25" i="11" s="1"/>
  <c r="E67" i="11"/>
  <c r="E43" i="11"/>
  <c r="E73" i="11"/>
  <c r="F73" i="11" s="1"/>
  <c r="E72" i="11"/>
  <c r="F72" i="11" s="1"/>
  <c r="E52" i="11"/>
  <c r="E41" i="11"/>
  <c r="E55" i="11"/>
  <c r="E61" i="11"/>
  <c r="E71" i="11"/>
  <c r="E44" i="11"/>
  <c r="F3" i="11"/>
  <c r="E68" i="11"/>
  <c r="F68" i="11" s="1"/>
  <c r="E57" i="11"/>
  <c r="E50" i="11"/>
  <c r="E48" i="11"/>
  <c r="E58" i="11"/>
  <c r="E64" i="11"/>
  <c r="E40" i="11"/>
  <c r="E49" i="11"/>
  <c r="F49" i="11" s="1"/>
  <c r="E63" i="11"/>
  <c r="F63" i="11" s="1"/>
  <c r="E51" i="11"/>
  <c r="E70" i="11"/>
  <c r="E42" i="11"/>
  <c r="E45" i="11"/>
  <c r="E6" i="11"/>
  <c r="E22" i="11" s="1"/>
  <c r="E65" i="11"/>
  <c r="E5" i="11"/>
  <c r="E21" i="11" s="1"/>
  <c r="E46" i="11"/>
  <c r="F46" i="11" s="1"/>
  <c r="G16" i="9"/>
  <c r="G55" i="9"/>
  <c r="H31" i="5"/>
  <c r="E31" i="5"/>
  <c r="C31" i="5"/>
  <c r="J31" i="5"/>
  <c r="K31" i="5"/>
  <c r="G31" i="5"/>
  <c r="B31" i="5"/>
  <c r="D31" i="5"/>
  <c r="I31" i="5"/>
  <c r="C10" i="5"/>
  <c r="B78" i="11"/>
  <c r="B80" i="11" s="1"/>
  <c r="I27" i="11"/>
  <c r="H27" i="11"/>
  <c r="H28" i="9"/>
  <c r="I84" i="11"/>
  <c r="G25" i="9"/>
  <c r="F32" i="9"/>
  <c r="G34" i="9"/>
  <c r="G35" i="9" s="1"/>
  <c r="H86" i="11"/>
  <c r="F28" i="11"/>
  <c r="G12" i="11"/>
  <c r="D91" i="11"/>
  <c r="D94" i="11" s="1"/>
  <c r="G17" i="9"/>
  <c r="F63" i="9"/>
  <c r="F62" i="9"/>
  <c r="F39" i="11"/>
  <c r="C10" i="3"/>
  <c r="F10" i="13"/>
  <c r="E30" i="11"/>
  <c r="E34" i="11" s="1"/>
  <c r="F14" i="11"/>
  <c r="F15" i="9"/>
  <c r="B18" i="5"/>
  <c r="C18" i="5" s="1"/>
  <c r="D18" i="5" s="1"/>
  <c r="E18" i="5" s="1"/>
  <c r="F18" i="5" s="1"/>
  <c r="G18" i="5" s="1"/>
  <c r="H18" i="5" s="1"/>
  <c r="I18" i="5" s="1"/>
  <c r="J18" i="5" s="1"/>
  <c r="K18" i="5" s="1"/>
  <c r="B6" i="4"/>
  <c r="C6" i="4" s="1"/>
  <c r="D6" i="4" s="1"/>
  <c r="E6" i="4" s="1"/>
  <c r="F6" i="4" s="1"/>
  <c r="G6" i="4" s="1"/>
  <c r="C10" i="4"/>
  <c r="G13" i="13"/>
  <c r="H23" i="9"/>
  <c r="C22" i="5"/>
  <c r="H87" i="11"/>
  <c r="H13" i="11"/>
  <c r="G29" i="11"/>
  <c r="F29" i="9"/>
  <c r="I82" i="11"/>
  <c r="F13" i="13"/>
  <c r="F15" i="11"/>
  <c r="E31" i="11"/>
  <c r="H24" i="9"/>
  <c r="G85" i="11"/>
  <c r="D18" i="9"/>
  <c r="E18" i="9" s="1"/>
  <c r="D17" i="11"/>
  <c r="B17" i="9"/>
  <c r="I32" i="4"/>
  <c r="B70" i="9"/>
  <c r="C71" i="9" s="1"/>
  <c r="C29" i="1" l="1"/>
  <c r="C31" i="1" s="1"/>
  <c r="C3" i="3" s="1"/>
  <c r="G3" i="14"/>
  <c r="F10" i="14" s="1"/>
  <c r="C3" i="4"/>
  <c r="C33" i="1"/>
  <c r="C34" i="1" s="1"/>
  <c r="D9" i="7"/>
  <c r="D10" i="7" s="1"/>
  <c r="D15" i="1"/>
  <c r="B15" i="9"/>
  <c r="B22" i="9" s="1"/>
  <c r="C22" i="9"/>
  <c r="E22" i="9"/>
  <c r="B6" i="3"/>
  <c r="C6" i="3" s="1"/>
  <c r="D6" i="3" s="1"/>
  <c r="E6" i="3" s="1"/>
  <c r="F6" i="3" s="1"/>
  <c r="G6" i="3" s="1"/>
  <c r="C2" i="11"/>
  <c r="D20" i="11"/>
  <c r="E2" i="11"/>
  <c r="B8" i="4"/>
  <c r="B20" i="5"/>
  <c r="E57" i="9"/>
  <c r="B8" i="3"/>
  <c r="G63" i="11"/>
  <c r="H29" i="11"/>
  <c r="I13" i="11"/>
  <c r="B34" i="5"/>
  <c r="C14" i="5"/>
  <c r="C16" i="5" s="1"/>
  <c r="E26" i="11"/>
  <c r="H37" i="9"/>
  <c r="H38" i="9" s="1"/>
  <c r="I87" i="11"/>
  <c r="G28" i="11"/>
  <c r="H12" i="11"/>
  <c r="H25" i="9"/>
  <c r="F65" i="11"/>
  <c r="F40" i="11"/>
  <c r="F44" i="11"/>
  <c r="G44" i="11" s="1"/>
  <c r="F43" i="11"/>
  <c r="F62" i="11"/>
  <c r="G62" i="11" s="1"/>
  <c r="G46" i="11"/>
  <c r="G72" i="11"/>
  <c r="D99" i="11"/>
  <c r="D101" i="11"/>
  <c r="G49" i="11"/>
  <c r="F59" i="11"/>
  <c r="C27" i="5"/>
  <c r="F31" i="11"/>
  <c r="G15" i="11"/>
  <c r="J84" i="11"/>
  <c r="J28" i="9" s="1"/>
  <c r="I28" i="9"/>
  <c r="B64" i="5"/>
  <c r="F15" i="14"/>
  <c r="F22" i="11"/>
  <c r="F64" i="11"/>
  <c r="F71" i="11"/>
  <c r="F67" i="11"/>
  <c r="E74" i="11"/>
  <c r="F53" i="11"/>
  <c r="G68" i="11"/>
  <c r="G73" i="11"/>
  <c r="C16" i="4"/>
  <c r="C16" i="3"/>
  <c r="G31" i="9"/>
  <c r="G32" i="9" s="1"/>
  <c r="G88" i="11"/>
  <c r="H85" i="11"/>
  <c r="B90" i="11"/>
  <c r="B91" i="11"/>
  <c r="B94" i="11" s="1"/>
  <c r="H16" i="9"/>
  <c r="F8" i="11"/>
  <c r="F24" i="11" s="1"/>
  <c r="F5" i="11"/>
  <c r="F21" i="11" s="1"/>
  <c r="F7" i="11"/>
  <c r="F23" i="11" s="1"/>
  <c r="G3" i="11"/>
  <c r="F6" i="11"/>
  <c r="F9" i="11"/>
  <c r="B13" i="7"/>
  <c r="B16" i="7" s="1"/>
  <c r="F22" i="9"/>
  <c r="G15" i="9"/>
  <c r="H34" i="9"/>
  <c r="H35" i="9" s="1"/>
  <c r="I86" i="11"/>
  <c r="F45" i="11"/>
  <c r="G45" i="11" s="1"/>
  <c r="F58" i="11"/>
  <c r="G58" i="11" s="1"/>
  <c r="F61" i="11"/>
  <c r="E66" i="11"/>
  <c r="F25" i="11"/>
  <c r="F42" i="11"/>
  <c r="G42" i="11" s="1"/>
  <c r="E60" i="11"/>
  <c r="F55" i="11"/>
  <c r="J82" i="11"/>
  <c r="I24" i="9"/>
  <c r="I23" i="9"/>
  <c r="H13" i="13"/>
  <c r="H55" i="9"/>
  <c r="F48" i="11"/>
  <c r="E54" i="11"/>
  <c r="F56" i="11"/>
  <c r="G56" i="11" s="1"/>
  <c r="E47" i="11"/>
  <c r="E78" i="11" s="1"/>
  <c r="F70" i="11"/>
  <c r="F50" i="11"/>
  <c r="G50" i="11" s="1"/>
  <c r="F41" i="11"/>
  <c r="G41" i="11" s="1"/>
  <c r="F69" i="11"/>
  <c r="G69" i="11" s="1"/>
  <c r="C90" i="11"/>
  <c r="C91" i="11"/>
  <c r="C94" i="11" s="1"/>
  <c r="F18" i="9"/>
  <c r="E42" i="9"/>
  <c r="G29" i="9"/>
  <c r="H29" i="9" s="1"/>
  <c r="I29" i="9" s="1"/>
  <c r="J29" i="9" s="1"/>
  <c r="G14" i="11"/>
  <c r="F30" i="11"/>
  <c r="F34" i="11" s="1"/>
  <c r="H17" i="9"/>
  <c r="F51" i="11"/>
  <c r="G51" i="11" s="1"/>
  <c r="F57" i="11"/>
  <c r="G57" i="11" s="1"/>
  <c r="F52" i="11"/>
  <c r="G52" i="11" s="1"/>
  <c r="E9" i="7" l="1"/>
  <c r="F9" i="14"/>
  <c r="F2" i="11"/>
  <c r="E20" i="11"/>
  <c r="B2" i="11"/>
  <c r="B20" i="11" s="1"/>
  <c r="C20" i="11"/>
  <c r="B14" i="7"/>
  <c r="B27" i="7" s="1"/>
  <c r="F26" i="11"/>
  <c r="C8" i="3"/>
  <c r="F57" i="9"/>
  <c r="C20" i="5"/>
  <c r="C8" i="4"/>
  <c r="G31" i="11"/>
  <c r="H15" i="11"/>
  <c r="G22" i="9"/>
  <c r="H15" i="9"/>
  <c r="I55" i="9"/>
  <c r="E18" i="11"/>
  <c r="E10" i="11"/>
  <c r="E74" i="9"/>
  <c r="E16" i="11"/>
  <c r="E41" i="9" s="1"/>
  <c r="B7" i="4"/>
  <c r="B19" i="5"/>
  <c r="B7" i="3"/>
  <c r="E35" i="11"/>
  <c r="E17" i="11"/>
  <c r="H31" i="9"/>
  <c r="H32" i="9" s="1"/>
  <c r="I85" i="11"/>
  <c r="H88" i="11"/>
  <c r="G70" i="11"/>
  <c r="G55" i="11"/>
  <c r="F60" i="11"/>
  <c r="G61" i="11"/>
  <c r="F66" i="11"/>
  <c r="C27" i="7"/>
  <c r="B21" i="7"/>
  <c r="B24" i="7" s="1"/>
  <c r="E10" i="7"/>
  <c r="B26" i="7" s="1"/>
  <c r="D12" i="7"/>
  <c r="D10" i="3"/>
  <c r="D16" i="3" s="1"/>
  <c r="D22" i="5"/>
  <c r="G10" i="13"/>
  <c r="D27" i="5" s="1"/>
  <c r="D10" i="4"/>
  <c r="D16" i="4" s="1"/>
  <c r="G53" i="11"/>
  <c r="G59" i="11"/>
  <c r="H59" i="11" s="1"/>
  <c r="G43" i="11"/>
  <c r="B11" i="7"/>
  <c r="B20" i="7" s="1"/>
  <c r="B25" i="7"/>
  <c r="B48" i="5"/>
  <c r="B46" i="5"/>
  <c r="H42" i="11"/>
  <c r="F74" i="11"/>
  <c r="G67" i="11"/>
  <c r="G40" i="11"/>
  <c r="H28" i="11"/>
  <c r="I12" i="11"/>
  <c r="B35" i="5"/>
  <c r="B40" i="5" s="1"/>
  <c r="B36" i="5"/>
  <c r="B37" i="5" s="1"/>
  <c r="H57" i="11"/>
  <c r="J24" i="9"/>
  <c r="H72" i="11"/>
  <c r="H41" i="11"/>
  <c r="I17" i="9"/>
  <c r="B21" i="5"/>
  <c r="B9" i="3"/>
  <c r="B9" i="4"/>
  <c r="F42" i="9"/>
  <c r="G18" i="9"/>
  <c r="H56" i="11"/>
  <c r="J23" i="9"/>
  <c r="J13" i="13" s="1"/>
  <c r="I13" i="13"/>
  <c r="H45" i="11"/>
  <c r="G30" i="11"/>
  <c r="H14" i="11"/>
  <c r="C101" i="11"/>
  <c r="C99" i="11"/>
  <c r="G71" i="11"/>
  <c r="H71" i="11" s="1"/>
  <c r="G65" i="11"/>
  <c r="H65" i="11" s="1"/>
  <c r="G34" i="11"/>
  <c r="B99" i="11"/>
  <c r="B101" i="11"/>
  <c r="H51" i="11"/>
  <c r="H58" i="11"/>
  <c r="H44" i="11"/>
  <c r="I25" i="9"/>
  <c r="H52" i="11"/>
  <c r="G48" i="11"/>
  <c r="F54" i="11"/>
  <c r="I34" i="9"/>
  <c r="I35" i="9" s="1"/>
  <c r="J35" i="9" s="1"/>
  <c r="J86" i="11"/>
  <c r="J34" i="9" s="1"/>
  <c r="G8" i="11"/>
  <c r="G24" i="11" s="1"/>
  <c r="H3" i="11"/>
  <c r="H73" i="11" s="1"/>
  <c r="G9" i="11"/>
  <c r="G25" i="11" s="1"/>
  <c r="G7" i="11"/>
  <c r="G23" i="11" s="1"/>
  <c r="G6" i="11"/>
  <c r="G22" i="11" s="1"/>
  <c r="G5" i="11"/>
  <c r="G21" i="11" s="1"/>
  <c r="I16" i="9"/>
  <c r="G64" i="11"/>
  <c r="H64" i="11" s="1"/>
  <c r="J87" i="11"/>
  <c r="J37" i="9" s="1"/>
  <c r="I37" i="9"/>
  <c r="I38" i="9" s="1"/>
  <c r="J38" i="9" s="1"/>
  <c r="J13" i="11"/>
  <c r="J29" i="11" s="1"/>
  <c r="I29" i="11"/>
  <c r="B28" i="7" l="1"/>
  <c r="G2" i="11"/>
  <c r="F20" i="11"/>
  <c r="G26" i="11"/>
  <c r="H23" i="11"/>
  <c r="J16" i="9"/>
  <c r="B56" i="5"/>
  <c r="J25" i="9"/>
  <c r="H30" i="11"/>
  <c r="I14" i="11"/>
  <c r="I28" i="11"/>
  <c r="J12" i="11"/>
  <c r="J28" i="11" s="1"/>
  <c r="H7" i="11"/>
  <c r="H9" i="11"/>
  <c r="H25" i="11" s="1"/>
  <c r="I3" i="11"/>
  <c r="I51" i="11" s="1"/>
  <c r="H6" i="11"/>
  <c r="H22" i="11" s="1"/>
  <c r="H5" i="11"/>
  <c r="H21" i="11" s="1"/>
  <c r="H8" i="11"/>
  <c r="H24" i="11" s="1"/>
  <c r="C34" i="5"/>
  <c r="H49" i="11"/>
  <c r="H61" i="11"/>
  <c r="G66" i="11"/>
  <c r="E40" i="9"/>
  <c r="E61" i="9"/>
  <c r="E64" i="9" s="1"/>
  <c r="E46" i="9"/>
  <c r="H69" i="11"/>
  <c r="I69" i="11" s="1"/>
  <c r="G57" i="9"/>
  <c r="D20" i="5"/>
  <c r="D8" i="4"/>
  <c r="D8" i="3"/>
  <c r="I65" i="11"/>
  <c r="G54" i="11"/>
  <c r="H48" i="11"/>
  <c r="H18" i="9"/>
  <c r="G42" i="9"/>
  <c r="I64" i="11"/>
  <c r="I45" i="11"/>
  <c r="H40" i="11"/>
  <c r="I40" i="11" s="1"/>
  <c r="H50" i="11"/>
  <c r="I50" i="11" s="1"/>
  <c r="I15" i="11"/>
  <c r="H31" i="11"/>
  <c r="H34" i="11" s="1"/>
  <c r="G60" i="11"/>
  <c r="H55" i="11"/>
  <c r="E80" i="11"/>
  <c r="E19" i="11"/>
  <c r="F37" i="11" s="1"/>
  <c r="H63" i="11"/>
  <c r="I63" i="11" s="1"/>
  <c r="B67" i="5"/>
  <c r="B69" i="5"/>
  <c r="B73" i="5"/>
  <c r="G74" i="11"/>
  <c r="H67" i="11"/>
  <c r="H70" i="11"/>
  <c r="I70" i="11" s="1"/>
  <c r="B11" i="3"/>
  <c r="B13" i="3" s="1"/>
  <c r="H46" i="11"/>
  <c r="I46" i="11" s="1"/>
  <c r="I57" i="11"/>
  <c r="I58" i="11"/>
  <c r="I71" i="11"/>
  <c r="I56" i="11"/>
  <c r="J17" i="9"/>
  <c r="H43" i="11"/>
  <c r="I43" i="11" s="1"/>
  <c r="H62" i="11"/>
  <c r="B24" i="5"/>
  <c r="H68" i="11"/>
  <c r="I68" i="11" s="1"/>
  <c r="E22" i="5"/>
  <c r="E10" i="3"/>
  <c r="E16" i="3" s="1"/>
  <c r="H10" i="13"/>
  <c r="E27" i="5" s="1"/>
  <c r="E10" i="4"/>
  <c r="E16" i="4" s="1"/>
  <c r="B11" i="4"/>
  <c r="B13" i="4" s="1"/>
  <c r="J55" i="9"/>
  <c r="I15" i="9"/>
  <c r="H22" i="9"/>
  <c r="F16" i="11"/>
  <c r="F17" i="11"/>
  <c r="F10" i="11"/>
  <c r="F18" i="11"/>
  <c r="F74" i="9"/>
  <c r="C7" i="3"/>
  <c r="F35" i="11"/>
  <c r="C19" i="5"/>
  <c r="C7" i="4"/>
  <c r="F40" i="9"/>
  <c r="F41" i="9"/>
  <c r="C48" i="5"/>
  <c r="C46" i="5"/>
  <c r="H53" i="11"/>
  <c r="I53" i="11" s="1"/>
  <c r="I31" i="9"/>
  <c r="I32" i="9" s="1"/>
  <c r="J85" i="11"/>
  <c r="I88" i="11"/>
  <c r="H2" i="11" l="1"/>
  <c r="G20" i="11"/>
  <c r="H57" i="9"/>
  <c r="E8" i="3"/>
  <c r="E8" i="4"/>
  <c r="E20" i="5"/>
  <c r="H26" i="11"/>
  <c r="C36" i="5"/>
  <c r="C37" i="5" s="1"/>
  <c r="C35" i="5"/>
  <c r="C40" i="5" s="1"/>
  <c r="J46" i="11"/>
  <c r="I30" i="11"/>
  <c r="J14" i="11"/>
  <c r="J30" i="11" s="1"/>
  <c r="J34" i="11" s="1"/>
  <c r="D19" i="5"/>
  <c r="G74" i="9"/>
  <c r="G16" i="11"/>
  <c r="G18" i="11"/>
  <c r="D7" i="3"/>
  <c r="G10" i="11"/>
  <c r="G17" i="11"/>
  <c r="G35" i="11"/>
  <c r="D7" i="4"/>
  <c r="G40" i="9"/>
  <c r="G41" i="9"/>
  <c r="F22" i="5"/>
  <c r="F10" i="4"/>
  <c r="F16" i="4" s="1"/>
  <c r="I10" i="13"/>
  <c r="F27" i="5" s="1"/>
  <c r="F10" i="3"/>
  <c r="F16" i="3" s="1"/>
  <c r="J31" i="9"/>
  <c r="J32" i="9" s="1"/>
  <c r="J88" i="11"/>
  <c r="J57" i="11"/>
  <c r="I31" i="11"/>
  <c r="I34" i="11" s="1"/>
  <c r="J15" i="11"/>
  <c r="J31" i="11" s="1"/>
  <c r="H74" i="11"/>
  <c r="I67" i="11"/>
  <c r="G39" i="11"/>
  <c r="G38" i="11"/>
  <c r="G62" i="9"/>
  <c r="F47" i="11"/>
  <c r="F78" i="11" s="1"/>
  <c r="G63" i="9"/>
  <c r="E70" i="9"/>
  <c r="J43" i="11"/>
  <c r="D48" i="5"/>
  <c r="D46" i="5"/>
  <c r="E91" i="11"/>
  <c r="E90" i="11"/>
  <c r="J64" i="11"/>
  <c r="I8" i="11"/>
  <c r="I24" i="11" s="1"/>
  <c r="I6" i="11"/>
  <c r="I22" i="11" s="1"/>
  <c r="I5" i="11"/>
  <c r="I21" i="11" s="1"/>
  <c r="I7" i="11"/>
  <c r="I23" i="11" s="1"/>
  <c r="J3" i="11"/>
  <c r="J69" i="11" s="1"/>
  <c r="I9" i="11"/>
  <c r="I25" i="11" s="1"/>
  <c r="I72" i="11"/>
  <c r="J72" i="11" s="1"/>
  <c r="F61" i="9"/>
  <c r="F64" i="9" s="1"/>
  <c r="F46" i="9"/>
  <c r="B63" i="5"/>
  <c r="H60" i="11"/>
  <c r="I55" i="11"/>
  <c r="H66" i="11"/>
  <c r="I61" i="11"/>
  <c r="I41" i="11"/>
  <c r="J41" i="11" s="1"/>
  <c r="I52" i="11"/>
  <c r="J52" i="11" s="1"/>
  <c r="I48" i="11"/>
  <c r="H54" i="11"/>
  <c r="F80" i="11"/>
  <c r="F19" i="11"/>
  <c r="G37" i="11" s="1"/>
  <c r="I22" i="9"/>
  <c r="J15" i="9"/>
  <c r="J22" i="9" s="1"/>
  <c r="J58" i="11"/>
  <c r="C56" i="5"/>
  <c r="I42" i="11"/>
  <c r="I62" i="11"/>
  <c r="I18" i="9"/>
  <c r="H42" i="9"/>
  <c r="I49" i="11"/>
  <c r="J49" i="11" s="1"/>
  <c r="I44" i="11"/>
  <c r="J44" i="11" s="1"/>
  <c r="I59" i="11"/>
  <c r="I73" i="11"/>
  <c r="H20" i="11" l="1"/>
  <c r="I2" i="11"/>
  <c r="G20" i="5"/>
  <c r="H20" i="5" s="1"/>
  <c r="I20" i="5" s="1"/>
  <c r="J20" i="5" s="1"/>
  <c r="K20" i="5" s="1"/>
  <c r="J57" i="9"/>
  <c r="G8" i="4"/>
  <c r="H8" i="4" s="1"/>
  <c r="G8" i="3"/>
  <c r="H8" i="3" s="1"/>
  <c r="I26" i="11"/>
  <c r="F8" i="4"/>
  <c r="I57" i="9"/>
  <c r="F8" i="3"/>
  <c r="F20" i="5"/>
  <c r="F71" i="9"/>
  <c r="E71" i="9"/>
  <c r="G19" i="11"/>
  <c r="H37" i="11" s="1"/>
  <c r="C64" i="5"/>
  <c r="J51" i="11"/>
  <c r="J68" i="11"/>
  <c r="J67" i="11"/>
  <c r="I74" i="11"/>
  <c r="C69" i="5"/>
  <c r="C67" i="5"/>
  <c r="C73" i="5"/>
  <c r="J65" i="11"/>
  <c r="D34" i="5"/>
  <c r="H10" i="11"/>
  <c r="E7" i="3"/>
  <c r="H17" i="11"/>
  <c r="H16" i="11"/>
  <c r="H41" i="9" s="1"/>
  <c r="E7" i="4"/>
  <c r="H74" i="9"/>
  <c r="H18" i="11"/>
  <c r="E19" i="5"/>
  <c r="H35" i="11"/>
  <c r="I54" i="11"/>
  <c r="J48" i="11"/>
  <c r="J18" i="9"/>
  <c r="I42" i="9"/>
  <c r="H39" i="11"/>
  <c r="H63" i="9"/>
  <c r="G47" i="11"/>
  <c r="G78" i="11" s="1"/>
  <c r="G80" i="11" s="1"/>
  <c r="H62" i="9"/>
  <c r="H38" i="11"/>
  <c r="J42" i="11"/>
  <c r="J45" i="11"/>
  <c r="J50" i="11"/>
  <c r="G10" i="3"/>
  <c r="G10" i="4"/>
  <c r="G22" i="5"/>
  <c r="H22" i="5" s="1"/>
  <c r="I22" i="5" s="1"/>
  <c r="J22" i="5" s="1"/>
  <c r="K22" i="5" s="1"/>
  <c r="J10" i="13"/>
  <c r="G27" i="5" s="1"/>
  <c r="E46" i="5"/>
  <c r="E48" i="5"/>
  <c r="F90" i="11"/>
  <c r="F91" i="11"/>
  <c r="J56" i="11"/>
  <c r="J71" i="11"/>
  <c r="J73" i="11"/>
  <c r="J70" i="11"/>
  <c r="J53" i="11"/>
  <c r="J40" i="11"/>
  <c r="E4" i="13"/>
  <c r="E94" i="11"/>
  <c r="J9" i="11"/>
  <c r="J25" i="11" s="1"/>
  <c r="J5" i="11"/>
  <c r="J21" i="11" s="1"/>
  <c r="J7" i="11"/>
  <c r="J23" i="11" s="1"/>
  <c r="J6" i="11"/>
  <c r="J22" i="11" s="1"/>
  <c r="J8" i="11"/>
  <c r="J24" i="11" s="1"/>
  <c r="J62" i="11"/>
  <c r="I66" i="11"/>
  <c r="J61" i="11"/>
  <c r="J59" i="11"/>
  <c r="I60" i="11"/>
  <c r="J55" i="11"/>
  <c r="C21" i="5"/>
  <c r="C24" i="5" s="1"/>
  <c r="C9" i="3"/>
  <c r="C11" i="3" s="1"/>
  <c r="C13" i="3" s="1"/>
  <c r="C9" i="4"/>
  <c r="C11" i="4" s="1"/>
  <c r="C13" i="4" s="1"/>
  <c r="F70" i="9"/>
  <c r="J63" i="11"/>
  <c r="G61" i="9"/>
  <c r="G64" i="9" s="1"/>
  <c r="G46" i="9"/>
  <c r="G70" i="9" s="1"/>
  <c r="I20" i="11" l="1"/>
  <c r="J2" i="11"/>
  <c r="J20" i="11" s="1"/>
  <c r="J26" i="11"/>
  <c r="G90" i="11"/>
  <c r="G91" i="11"/>
  <c r="E34" i="5"/>
  <c r="D36" i="5"/>
  <c r="D37" i="5" s="1"/>
  <c r="D63" i="5"/>
  <c r="D35" i="5"/>
  <c r="D40" i="5" s="1"/>
  <c r="C63" i="5"/>
  <c r="J42" i="9"/>
  <c r="J74" i="11"/>
  <c r="I62" i="9"/>
  <c r="I63" i="9"/>
  <c r="I39" i="11"/>
  <c r="I38" i="11"/>
  <c r="H47" i="11"/>
  <c r="H78" i="11" s="1"/>
  <c r="F4" i="13"/>
  <c r="J60" i="11"/>
  <c r="H61" i="9"/>
  <c r="H64" i="9" s="1"/>
  <c r="H46" i="9"/>
  <c r="I10" i="11"/>
  <c r="F19" i="5"/>
  <c r="F7" i="4"/>
  <c r="I16" i="11"/>
  <c r="I74" i="9"/>
  <c r="F7" i="3"/>
  <c r="I35" i="11"/>
  <c r="I17" i="11"/>
  <c r="I18" i="11"/>
  <c r="I41" i="9"/>
  <c r="I40" i="9"/>
  <c r="E6" i="13"/>
  <c r="E8" i="13"/>
  <c r="E7" i="13" s="1"/>
  <c r="H19" i="11"/>
  <c r="I37" i="11" s="1"/>
  <c r="H80" i="11"/>
  <c r="E12" i="13"/>
  <c r="E16" i="13" s="1"/>
  <c r="B15" i="4"/>
  <c r="B26" i="5"/>
  <c r="B15" i="3"/>
  <c r="H10" i="3"/>
  <c r="G16" i="3"/>
  <c r="J54" i="11"/>
  <c r="D21" i="5"/>
  <c r="D24" i="5" s="1"/>
  <c r="D9" i="4"/>
  <c r="D11" i="4" s="1"/>
  <c r="D13" i="4" s="1"/>
  <c r="D9" i="3"/>
  <c r="D11" i="3" s="1"/>
  <c r="D13" i="3" s="1"/>
  <c r="H40" i="9"/>
  <c r="D64" i="5"/>
  <c r="F48" i="5"/>
  <c r="F46" i="5"/>
  <c r="C15" i="4"/>
  <c r="C15" i="3"/>
  <c r="F12" i="13"/>
  <c r="F16" i="13" s="1"/>
  <c r="C26" i="5"/>
  <c r="G71" i="9"/>
  <c r="J66" i="11"/>
  <c r="E100" i="11"/>
  <c r="E101" i="11" s="1"/>
  <c r="E52" i="9" s="1"/>
  <c r="H10" i="4"/>
  <c r="G16" i="4"/>
  <c r="E20" i="9" l="1"/>
  <c r="E21" i="9"/>
  <c r="E56" i="9"/>
  <c r="F93" i="11" s="1"/>
  <c r="E49" i="9"/>
  <c r="E50" i="9" s="1"/>
  <c r="E36" i="5"/>
  <c r="E37" i="5" s="1"/>
  <c r="E35" i="5"/>
  <c r="E40" i="5" s="1"/>
  <c r="G46" i="5"/>
  <c r="G48" i="5"/>
  <c r="I80" i="11"/>
  <c r="I19" i="11"/>
  <c r="J37" i="11" s="1"/>
  <c r="F8" i="13"/>
  <c r="F7" i="13" s="1"/>
  <c r="F6" i="13"/>
  <c r="F9" i="13" s="1"/>
  <c r="F11" i="13" s="1"/>
  <c r="F14" i="13" s="1"/>
  <c r="E99" i="11"/>
  <c r="B23" i="4"/>
  <c r="B24" i="4" s="1"/>
  <c r="J38" i="11"/>
  <c r="J39" i="11"/>
  <c r="I47" i="11"/>
  <c r="I78" i="11" s="1"/>
  <c r="J63" i="9"/>
  <c r="J62" i="9"/>
  <c r="E9" i="3"/>
  <c r="E11" i="3" s="1"/>
  <c r="E13" i="3" s="1"/>
  <c r="E9" i="4"/>
  <c r="E11" i="4" s="1"/>
  <c r="E13" i="4" s="1"/>
  <c r="E21" i="5"/>
  <c r="E24" i="5" s="1"/>
  <c r="G4" i="13"/>
  <c r="H91" i="11"/>
  <c r="H90" i="11"/>
  <c r="D15" i="3"/>
  <c r="D26" i="5"/>
  <c r="G12" i="13"/>
  <c r="G16" i="13" s="1"/>
  <c r="D15" i="4"/>
  <c r="B14" i="3"/>
  <c r="B17" i="3" s="1"/>
  <c r="B19" i="3" s="1"/>
  <c r="I19" i="3" s="1"/>
  <c r="I23" i="3" s="1"/>
  <c r="I27" i="3" s="1"/>
  <c r="B14" i="4"/>
  <c r="B17" i="4" s="1"/>
  <c r="I61" i="9"/>
  <c r="I64" i="9" s="1"/>
  <c r="I46" i="9"/>
  <c r="I70" i="9" s="1"/>
  <c r="D73" i="5"/>
  <c r="D67" i="5"/>
  <c r="D69" i="5"/>
  <c r="D56" i="5"/>
  <c r="H70" i="9"/>
  <c r="E9" i="13"/>
  <c r="E11" i="13" s="1"/>
  <c r="E14" i="13" s="1"/>
  <c r="G19" i="5"/>
  <c r="J18" i="11"/>
  <c r="J10" i="11"/>
  <c r="J17" i="11"/>
  <c r="J16" i="11"/>
  <c r="J41" i="9" s="1"/>
  <c r="J74" i="9"/>
  <c r="G7" i="4"/>
  <c r="G7" i="3"/>
  <c r="J35" i="11"/>
  <c r="I71" i="9" l="1"/>
  <c r="H71" i="9"/>
  <c r="I90" i="11"/>
  <c r="I91" i="11"/>
  <c r="H48" i="5"/>
  <c r="H46" i="5"/>
  <c r="C22" i="4"/>
  <c r="F94" i="11"/>
  <c r="J40" i="9"/>
  <c r="E63" i="5"/>
  <c r="J61" i="9"/>
  <c r="J64" i="9" s="1"/>
  <c r="J46" i="9"/>
  <c r="J19" i="11"/>
  <c r="G6" i="13"/>
  <c r="G8" i="13"/>
  <c r="G7" i="13" s="1"/>
  <c r="F9" i="3"/>
  <c r="F11" i="3" s="1"/>
  <c r="F13" i="3" s="1"/>
  <c r="F9" i="4"/>
  <c r="F11" i="4" s="1"/>
  <c r="F13" i="4" s="1"/>
  <c r="F21" i="5"/>
  <c r="F24" i="5" s="1"/>
  <c r="C14" i="3"/>
  <c r="C17" i="3" s="1"/>
  <c r="C19" i="3" s="1"/>
  <c r="C14" i="4"/>
  <c r="C17" i="4" s="1"/>
  <c r="C19" i="4" s="1"/>
  <c r="F34" i="5"/>
  <c r="E68" i="9"/>
  <c r="E69" i="9" s="1"/>
  <c r="A30" i="3"/>
  <c r="A36" i="4"/>
  <c r="B57" i="5"/>
  <c r="B58" i="5" s="1"/>
  <c r="B25" i="5"/>
  <c r="B28" i="5" s="1"/>
  <c r="B38" i="5"/>
  <c r="B39" i="5" s="1"/>
  <c r="B49" i="5"/>
  <c r="H19" i="5"/>
  <c r="B19" i="4"/>
  <c r="I19" i="4" s="1"/>
  <c r="I28" i="4" s="1"/>
  <c r="H4" i="13"/>
  <c r="H7" i="3"/>
  <c r="H7" i="4"/>
  <c r="E64" i="5"/>
  <c r="J47" i="11"/>
  <c r="J78" i="11" s="1"/>
  <c r="E73" i="5"/>
  <c r="E69" i="5"/>
  <c r="E67" i="5"/>
  <c r="E56" i="5"/>
  <c r="I4" i="13" l="1"/>
  <c r="D14" i="3"/>
  <c r="D17" i="3" s="1"/>
  <c r="D19" i="3" s="1"/>
  <c r="D14" i="4"/>
  <c r="D17" i="4" s="1"/>
  <c r="D19" i="4" s="1"/>
  <c r="G9" i="13"/>
  <c r="G11" i="13" s="1"/>
  <c r="G14" i="13" s="1"/>
  <c r="J70" i="9"/>
  <c r="E15" i="4"/>
  <c r="H12" i="13"/>
  <c r="H16" i="13" s="1"/>
  <c r="E26" i="5"/>
  <c r="E15" i="3"/>
  <c r="G9" i="3"/>
  <c r="G9" i="4"/>
  <c r="G21" i="5"/>
  <c r="H6" i="13"/>
  <c r="H8" i="13"/>
  <c r="H7" i="13" s="1"/>
  <c r="G9" i="14"/>
  <c r="I19" i="5"/>
  <c r="F63" i="5"/>
  <c r="F36" i="5"/>
  <c r="F37" i="5" s="1"/>
  <c r="F35" i="5"/>
  <c r="F40" i="5" s="1"/>
  <c r="F100" i="11"/>
  <c r="F101" i="11" s="1"/>
  <c r="F52" i="9" s="1"/>
  <c r="F26" i="5"/>
  <c r="I12" i="13"/>
  <c r="I16" i="13" s="1"/>
  <c r="F15" i="3"/>
  <c r="F15" i="4"/>
  <c r="B71" i="5"/>
  <c r="B41" i="5"/>
  <c r="J80" i="11"/>
  <c r="I48" i="5"/>
  <c r="I46" i="5"/>
  <c r="B65" i="5"/>
  <c r="B72" i="5"/>
  <c r="B45" i="5"/>
  <c r="B50" i="5" s="1"/>
  <c r="B52" i="5" s="1"/>
  <c r="B68" i="5"/>
  <c r="B42" i="5"/>
  <c r="F20" i="9" l="1"/>
  <c r="F21" i="9"/>
  <c r="F56" i="9"/>
  <c r="G93" i="11" s="1"/>
  <c r="F49" i="9"/>
  <c r="F50" i="9" s="1"/>
  <c r="G34" i="5"/>
  <c r="F73" i="5"/>
  <c r="F69" i="5"/>
  <c r="F67" i="5"/>
  <c r="F56" i="5"/>
  <c r="H9" i="4"/>
  <c r="H11" i="4" s="1"/>
  <c r="H13" i="4" s="1"/>
  <c r="G11" i="4"/>
  <c r="G13" i="4" s="1"/>
  <c r="F64" i="5"/>
  <c r="J19" i="5"/>
  <c r="H9" i="3"/>
  <c r="H11" i="3" s="1"/>
  <c r="H13" i="3" s="1"/>
  <c r="G11" i="3"/>
  <c r="G13" i="3" s="1"/>
  <c r="B53" i="5"/>
  <c r="J48" i="5"/>
  <c r="J46" i="5"/>
  <c r="I8" i="13"/>
  <c r="I7" i="13" s="1"/>
  <c r="I6" i="13"/>
  <c r="H15" i="4"/>
  <c r="H15" i="3"/>
  <c r="J71" i="9"/>
  <c r="H21" i="5"/>
  <c r="G24" i="5"/>
  <c r="G26" i="14"/>
  <c r="G14" i="14"/>
  <c r="E14" i="4"/>
  <c r="E17" i="4" s="1"/>
  <c r="E19" i="4" s="1"/>
  <c r="E14" i="3"/>
  <c r="E17" i="3" s="1"/>
  <c r="E19" i="3" s="1"/>
  <c r="H9" i="13"/>
  <c r="H11" i="13" s="1"/>
  <c r="H14" i="13" s="1"/>
  <c r="J90" i="11"/>
  <c r="J91" i="11"/>
  <c r="C23" i="4"/>
  <c r="F99" i="11"/>
  <c r="I21" i="5" l="1"/>
  <c r="H24" i="5"/>
  <c r="H34" i="5"/>
  <c r="G63" i="5"/>
  <c r="G36" i="5"/>
  <c r="G37" i="5" s="1"/>
  <c r="G35" i="5"/>
  <c r="G40" i="5" s="1"/>
  <c r="G26" i="5"/>
  <c r="G15" i="3"/>
  <c r="G15" i="4"/>
  <c r="J12" i="13"/>
  <c r="J16" i="13" s="1"/>
  <c r="D22" i="4"/>
  <c r="G94" i="11"/>
  <c r="F68" i="9"/>
  <c r="F69" i="9" s="1"/>
  <c r="C57" i="5"/>
  <c r="C58" i="5" s="1"/>
  <c r="C25" i="5"/>
  <c r="C28" i="5" s="1"/>
  <c r="C49" i="5"/>
  <c r="C38" i="5"/>
  <c r="C39" i="5" s="1"/>
  <c r="I9" i="13"/>
  <c r="I11" i="13" s="1"/>
  <c r="I14" i="13" s="1"/>
  <c r="C24" i="4"/>
  <c r="K19" i="5"/>
  <c r="G24" i="14"/>
  <c r="G29" i="14" s="1"/>
  <c r="G15" i="14"/>
  <c r="G16" i="14" s="1"/>
  <c r="G19" i="14" s="1"/>
  <c r="F14" i="3"/>
  <c r="F17" i="3" s="1"/>
  <c r="F19" i="3" s="1"/>
  <c r="F14" i="4"/>
  <c r="F17" i="4" s="1"/>
  <c r="F19" i="4" s="1"/>
  <c r="J4" i="13"/>
  <c r="K48" i="5"/>
  <c r="K46" i="5"/>
  <c r="G64" i="5"/>
  <c r="C71" i="5" l="1"/>
  <c r="C41" i="5"/>
  <c r="G100" i="11"/>
  <c r="G67" i="5"/>
  <c r="G73" i="5"/>
  <c r="G69" i="5"/>
  <c r="G56" i="5"/>
  <c r="C65" i="5"/>
  <c r="C68" i="5"/>
  <c r="C42" i="5"/>
  <c r="C72" i="5"/>
  <c r="C45" i="5"/>
  <c r="C50" i="5" s="1"/>
  <c r="C52" i="5" s="1"/>
  <c r="H36" i="5"/>
  <c r="H37" i="5" s="1"/>
  <c r="H63" i="5"/>
  <c r="H35" i="5"/>
  <c r="H40" i="5" s="1"/>
  <c r="J21" i="5"/>
  <c r="I24" i="5"/>
  <c r="A37" i="4"/>
  <c r="A31" i="3"/>
  <c r="A16" i="13"/>
  <c r="J6" i="13"/>
  <c r="J8" i="13"/>
  <c r="J7" i="13" s="1"/>
  <c r="C53" i="5" l="1"/>
  <c r="H73" i="5"/>
  <c r="H69" i="5"/>
  <c r="H67" i="5"/>
  <c r="H56" i="5"/>
  <c r="H14" i="3"/>
  <c r="H17" i="3" s="1"/>
  <c r="H18" i="3" s="1"/>
  <c r="H19" i="3" s="1"/>
  <c r="H14" i="4"/>
  <c r="H17" i="4" s="1"/>
  <c r="G14" i="3"/>
  <c r="G17" i="3" s="1"/>
  <c r="G19" i="3" s="1"/>
  <c r="G14" i="4"/>
  <c r="G17" i="4" s="1"/>
  <c r="G19" i="4" s="1"/>
  <c r="J9" i="13"/>
  <c r="J11" i="13" s="1"/>
  <c r="J14" i="13" s="1"/>
  <c r="I34" i="5"/>
  <c r="H64" i="5"/>
  <c r="D23" i="4"/>
  <c r="G99" i="11"/>
  <c r="G101" i="11"/>
  <c r="G52" i="9" s="1"/>
  <c r="K21" i="5"/>
  <c r="K24" i="5" s="1"/>
  <c r="J24" i="5"/>
  <c r="I36" i="5" l="1"/>
  <c r="I37" i="5" s="1"/>
  <c r="I63" i="5"/>
  <c r="I35" i="5"/>
  <c r="I40" i="5" s="1"/>
  <c r="I64" i="5"/>
  <c r="G68" i="9"/>
  <c r="G20" i="9"/>
  <c r="G21" i="9"/>
  <c r="G56" i="9"/>
  <c r="H93" i="11" s="1"/>
  <c r="G49" i="9"/>
  <c r="G50" i="9" s="1"/>
  <c r="H18" i="4"/>
  <c r="H19" i="4" s="1"/>
  <c r="B6" i="8" s="1"/>
  <c r="B4" i="8"/>
  <c r="B8" i="8" s="1"/>
  <c r="D57" i="5"/>
  <c r="D58" i="5" s="1"/>
  <c r="D25" i="5"/>
  <c r="D28" i="5" s="1"/>
  <c r="D49" i="5"/>
  <c r="D38" i="5"/>
  <c r="D39" i="5" s="1"/>
  <c r="D24" i="4"/>
  <c r="E22" i="4" l="1"/>
  <c r="H94" i="11"/>
  <c r="B7" i="8"/>
  <c r="G69" i="9"/>
  <c r="I67" i="5"/>
  <c r="I73" i="5"/>
  <c r="I69" i="5"/>
  <c r="I56" i="5"/>
  <c r="D71" i="5"/>
  <c r="D41" i="5"/>
  <c r="D42" i="5"/>
  <c r="D65" i="5"/>
  <c r="D72" i="5"/>
  <c r="D45" i="5"/>
  <c r="D50" i="5" s="1"/>
  <c r="D52" i="5" s="1"/>
  <c r="D68" i="5"/>
  <c r="J34" i="5"/>
  <c r="H100" i="11" l="1"/>
  <c r="H101" i="11" s="1"/>
  <c r="H52" i="9" s="1"/>
  <c r="J63" i="5"/>
  <c r="J36" i="5"/>
  <c r="J37" i="5" s="1"/>
  <c r="J35" i="5"/>
  <c r="J40" i="5" s="1"/>
  <c r="D53" i="5"/>
  <c r="H20" i="9" l="1"/>
  <c r="H21" i="9"/>
  <c r="H49" i="9"/>
  <c r="H50" i="9" s="1"/>
  <c r="H56" i="9"/>
  <c r="I93" i="11" s="1"/>
  <c r="J64" i="5"/>
  <c r="J69" i="5"/>
  <c r="J73" i="5"/>
  <c r="J67" i="5"/>
  <c r="J56" i="5"/>
  <c r="K34" i="5"/>
  <c r="H99" i="11"/>
  <c r="E23" i="4"/>
  <c r="K63" i="5" l="1"/>
  <c r="K36" i="5"/>
  <c r="K37" i="5" s="1"/>
  <c r="K35" i="5"/>
  <c r="K40" i="5" s="1"/>
  <c r="E57" i="5"/>
  <c r="E58" i="5" s="1"/>
  <c r="E25" i="5"/>
  <c r="E28" i="5" s="1"/>
  <c r="E49" i="5"/>
  <c r="E38" i="5"/>
  <c r="E39" i="5" s="1"/>
  <c r="F22" i="4"/>
  <c r="I94" i="11"/>
  <c r="E24" i="4"/>
  <c r="H68" i="9"/>
  <c r="H69" i="9" s="1"/>
  <c r="E45" i="5" l="1"/>
  <c r="E50" i="5" s="1"/>
  <c r="E52" i="5" s="1"/>
  <c r="E72" i="5"/>
  <c r="E68" i="5"/>
  <c r="E65" i="5"/>
  <c r="K67" i="5"/>
  <c r="K73" i="5"/>
  <c r="K69" i="5"/>
  <c r="K56" i="5"/>
  <c r="I100" i="11"/>
  <c r="I101" i="11" s="1"/>
  <c r="I52" i="9" s="1"/>
  <c r="K64" i="5"/>
  <c r="E71" i="5"/>
  <c r="E41" i="5"/>
  <c r="E42" i="5" s="1"/>
  <c r="I20" i="9" l="1"/>
  <c r="I21" i="9"/>
  <c r="I49" i="9"/>
  <c r="I50" i="9" s="1"/>
  <c r="I56" i="9"/>
  <c r="J93" i="11" s="1"/>
  <c r="F23" i="4"/>
  <c r="I99" i="11"/>
  <c r="E53" i="5"/>
  <c r="F57" i="5" l="1"/>
  <c r="F58" i="5" s="1"/>
  <c r="F25" i="5"/>
  <c r="F28" i="5" s="1"/>
  <c r="F49" i="5"/>
  <c r="F38" i="5"/>
  <c r="F39" i="5" s="1"/>
  <c r="G22" i="4"/>
  <c r="J94" i="11"/>
  <c r="I68" i="9"/>
  <c r="F24" i="4"/>
  <c r="G10" i="14"/>
  <c r="G11" i="14" s="1"/>
  <c r="I69" i="9"/>
  <c r="J100" i="11" l="1"/>
  <c r="J101" i="11"/>
  <c r="J52" i="9" s="1"/>
  <c r="F65" i="5"/>
  <c r="F72" i="5"/>
  <c r="F68" i="5"/>
  <c r="F42" i="5"/>
  <c r="F45" i="5"/>
  <c r="F50" i="5" s="1"/>
  <c r="F52" i="5" s="1"/>
  <c r="F71" i="5"/>
  <c r="F41" i="5"/>
  <c r="F36" i="14"/>
  <c r="C38" i="14"/>
  <c r="D39" i="14"/>
  <c r="E39" i="14"/>
  <c r="C40" i="14"/>
  <c r="C39" i="14"/>
  <c r="E40" i="14"/>
  <c r="F37" i="14"/>
  <c r="D38" i="14"/>
  <c r="G39" i="14"/>
  <c r="D37" i="14"/>
  <c r="E38" i="14"/>
  <c r="C36" i="14"/>
  <c r="G37" i="14"/>
  <c r="G38" i="14"/>
  <c r="F38" i="14"/>
  <c r="G18" i="14"/>
  <c r="G20" i="14" s="1"/>
  <c r="D40" i="14"/>
  <c r="E36" i="14"/>
  <c r="F39" i="14"/>
  <c r="G40" i="14"/>
  <c r="D36" i="14"/>
  <c r="E37" i="14"/>
  <c r="C37" i="14"/>
  <c r="F40" i="14"/>
  <c r="G12" i="14"/>
  <c r="G36" i="14"/>
  <c r="F53" i="5" l="1"/>
  <c r="G27" i="14"/>
  <c r="G28" i="14" s="1"/>
  <c r="G30" i="14" s="1"/>
  <c r="G31" i="14"/>
  <c r="J68" i="9"/>
  <c r="J20" i="9"/>
  <c r="J21" i="9"/>
  <c r="J49" i="9"/>
  <c r="J50" i="9" s="1"/>
  <c r="J69" i="9" s="1"/>
  <c r="J56" i="9"/>
  <c r="J99" i="11"/>
  <c r="G23" i="4"/>
  <c r="G24" i="4" s="1"/>
  <c r="I24" i="4" s="1"/>
  <c r="I29" i="4" s="1"/>
  <c r="I33" i="4" s="1"/>
  <c r="I57" i="5" l="1"/>
  <c r="I58" i="5" s="1"/>
  <c r="G57" i="5"/>
  <c r="G58" i="5" s="1"/>
  <c r="G25" i="5"/>
  <c r="G28" i="5" s="1"/>
  <c r="J25" i="5"/>
  <c r="J28" i="5" s="1"/>
  <c r="K57" i="5"/>
  <c r="K58" i="5" s="1"/>
  <c r="J57" i="5"/>
  <c r="J58" i="5" s="1"/>
  <c r="H25" i="5"/>
  <c r="H28" i="5" s="1"/>
  <c r="H57" i="5"/>
  <c r="H58" i="5" s="1"/>
  <c r="K25" i="5"/>
  <c r="K28" i="5" s="1"/>
  <c r="I25" i="5"/>
  <c r="I28" i="5" s="1"/>
  <c r="G49" i="5"/>
  <c r="H49" i="5"/>
  <c r="I49" i="5"/>
  <c r="J49" i="5"/>
  <c r="K49" i="5"/>
  <c r="G38" i="5"/>
  <c r="G39" i="5" s="1"/>
  <c r="H38" i="5"/>
  <c r="H39" i="5" s="1"/>
  <c r="I38" i="5"/>
  <c r="I39" i="5" s="1"/>
  <c r="J38" i="5"/>
  <c r="J39" i="5" s="1"/>
  <c r="K38" i="5"/>
  <c r="K39" i="5" s="1"/>
  <c r="G71" i="5" l="1"/>
  <c r="G41" i="5"/>
  <c r="H45" i="5"/>
  <c r="H50" i="5" s="1"/>
  <c r="H68" i="5"/>
  <c r="H65" i="5"/>
  <c r="H72" i="5"/>
  <c r="J45" i="5"/>
  <c r="J50" i="5" s="1"/>
  <c r="J65" i="5"/>
  <c r="J72" i="5"/>
  <c r="J68" i="5"/>
  <c r="J71" i="5"/>
  <c r="J41" i="5"/>
  <c r="J42" i="5" s="1"/>
  <c r="G65" i="5"/>
  <c r="G42" i="5"/>
  <c r="G72" i="5"/>
  <c r="G45" i="5"/>
  <c r="G50" i="5" s="1"/>
  <c r="G52" i="5" s="1"/>
  <c r="G68" i="5"/>
  <c r="K71" i="5"/>
  <c r="K41" i="5"/>
  <c r="K42" i="5" s="1"/>
  <c r="I71" i="5"/>
  <c r="I41" i="5"/>
  <c r="I42" i="5" s="1"/>
  <c r="I68" i="5"/>
  <c r="I45" i="5"/>
  <c r="I50" i="5" s="1"/>
  <c r="I72" i="5"/>
  <c r="I65" i="5"/>
  <c r="H71" i="5"/>
  <c r="H41" i="5"/>
  <c r="H42" i="5" s="1"/>
  <c r="K65" i="5"/>
  <c r="K72" i="5"/>
  <c r="K68" i="5"/>
  <c r="K45" i="5"/>
  <c r="K50" i="5" s="1"/>
  <c r="G53" i="5" l="1"/>
  <c r="H52" i="5"/>
  <c r="H53" i="5" l="1"/>
  <c r="I52" i="5"/>
  <c r="J52" i="5" l="1"/>
  <c r="I53" i="5"/>
  <c r="J53" i="5" l="1"/>
  <c r="K52" i="5"/>
  <c r="K5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Jeroen de Heer | ValuePro</author>
    <author>hmeijer</author>
    <author>MFAS</author>
    <author>Chris Denneboom | ValuePro</author>
    <author xml:space="preserve"> </author>
  </authors>
  <commentList>
    <comment ref="A5" authorId="0" shapeId="0" xr:uid="{00000000-0006-0000-0100-000001000000}">
      <text>
        <r>
          <rPr>
            <sz val="8"/>
            <color indexed="81"/>
            <rFont val="Tahoma"/>
            <family val="2"/>
          </rPr>
          <t>Indien er meerdere BTW-tarieven van toepassing zijn, dan hier een gemiddelde percentage ingeven.</t>
        </r>
      </text>
    </comment>
    <comment ref="A9" authorId="1" shapeId="0" xr:uid="{00000000-0006-0000-0100-000002000000}">
      <text>
        <r>
          <rPr>
            <sz val="8"/>
            <color indexed="81"/>
            <rFont val="Tahoma"/>
            <family val="2"/>
          </rPr>
          <t>Opheffing daarvan wordt geacht onmiddellijk na acquisitie plaats te vinden. Het effect ziet u daarom niet terug in onderstaand overzicht.</t>
        </r>
        <r>
          <rPr>
            <sz val="9"/>
            <color indexed="81"/>
            <rFont val="Tahoma"/>
            <family val="2"/>
          </rPr>
          <t xml:space="preserve">
</t>
        </r>
      </text>
    </comment>
    <comment ref="A10" authorId="2" shapeId="0" xr:uid="{00000000-0006-0000-0100-000003000000}">
      <text>
        <r>
          <rPr>
            <sz val="8"/>
            <color indexed="81"/>
            <rFont val="Tahoma"/>
            <family val="2"/>
          </rPr>
          <t>hieronder wordt verstaan  de rentedragende financiering.  Leverancierskrediet valt hier niet onder dat betreft netto werkkapitaal of operationele financiering</t>
        </r>
        <r>
          <rPr>
            <sz val="9"/>
            <color indexed="81"/>
            <rFont val="Tahoma"/>
            <family val="2"/>
          </rPr>
          <t>.</t>
        </r>
      </text>
    </comment>
    <comment ref="A11" authorId="3" shapeId="0" xr:uid="{00000000-0006-0000-0100-000004000000}">
      <text>
        <r>
          <rPr>
            <b/>
            <sz val="9"/>
            <color indexed="81"/>
            <rFont val="Tahoma"/>
            <family val="2"/>
          </rPr>
          <t>Chris Denneboom | ValuePro:</t>
        </r>
        <r>
          <rPr>
            <sz val="9"/>
            <color indexed="81"/>
            <rFont val="Tahoma"/>
            <family val="2"/>
          </rPr>
          <t xml:space="preserve">
Hier vermeldt u zaken die als rentedragend vreemd vermogen beschouwd moeten worden maar niet zo op de balans staan. Denk bijvoorbeeld aan voorzieningen of een VpB schuld in het werkkapitaal.</t>
        </r>
      </text>
    </comment>
    <comment ref="A12" authorId="4" shapeId="0" xr:uid="{00000000-0006-0000-0100-000005000000}">
      <text>
        <r>
          <rPr>
            <sz val="8"/>
            <color indexed="81"/>
            <rFont val="Tahoma"/>
            <family val="2"/>
          </rPr>
          <t xml:space="preserve">Bijvoorbeeld vorderingen die geen onderdeel zijn van de activiteiten. Bij een pand als zelfstandige vruchtdrager moet u een fictieve huur in de kosten opnemen.
</t>
        </r>
      </text>
    </comment>
    <comment ref="A49" authorId="4" shapeId="0" xr:uid="{00000000-0006-0000-0100-000006000000}">
      <text>
        <r>
          <rPr>
            <sz val="8"/>
            <color indexed="81"/>
            <rFont val="Tahoma"/>
            <family val="2"/>
          </rPr>
          <t>Bijvoorbeeld liquiditeiten. Bij een pand als zelfstandige vruchtdrager moet u een fictieve huur in de kosten opnemen.</t>
        </r>
        <r>
          <rPr>
            <sz val="8"/>
            <color indexed="81"/>
            <rFont val="Tahoma"/>
            <family val="2"/>
          </rPr>
          <t xml:space="preserve">
</t>
        </r>
      </text>
    </comment>
    <comment ref="A55" authorId="2" shapeId="0" xr:uid="{00000000-0006-0000-0100-000007000000}">
      <text>
        <r>
          <rPr>
            <sz val="8"/>
            <color indexed="81"/>
            <rFont val="Tahoma"/>
            <family val="2"/>
          </rPr>
          <t>Meestal wordt hier de langlopende financiering verstaan. Hierbij hoort o.m. niet het leverancierskrediet.
Dat betreft operationele financiering</t>
        </r>
        <r>
          <rPr>
            <sz val="9"/>
            <color indexed="81"/>
            <rFont val="Tahoma"/>
            <family val="2"/>
          </rPr>
          <t>.</t>
        </r>
      </text>
    </comment>
    <comment ref="A71" authorId="2" shapeId="0" xr:uid="{00000000-0006-0000-0100-000008000000}">
      <text>
        <r>
          <rPr>
            <sz val="8"/>
            <color indexed="81"/>
            <rFont val="Tahoma"/>
            <family val="2"/>
          </rPr>
          <t>Toename werkkapitaal is cash outflow, daarom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MFAS</author>
    <author>hmeijer</author>
  </authors>
  <commentList>
    <comment ref="A4" authorId="0" shapeId="0" xr:uid="{00000000-0006-0000-0400-000001000000}">
      <text>
        <r>
          <rPr>
            <sz val="8"/>
            <color indexed="81"/>
            <rFont val="Tahoma"/>
            <family val="2"/>
          </rPr>
          <t>Neem de gemiddelde verwachte kapitaalmarktrente over een wat langere periode. Deze ligt ongeveer op 3,5%: reële rente 1,5% en inflatie 2,0%.</t>
        </r>
      </text>
    </comment>
    <comment ref="A5" authorId="1" shapeId="0" xr:uid="{00000000-0006-0000-0400-000002000000}">
      <text>
        <r>
          <rPr>
            <sz val="8"/>
            <color indexed="81"/>
            <rFont val="Tahoma"/>
            <family val="2"/>
          </rPr>
          <t>Indicatief kan de risicovrij-component plus algemene risico-opslag worden gesteld op het gemiddelde rendement van de hoofdfondsen van de
beurs (AEX). Dit rendement is de gemiddelde  K/W gedeeld door 1.</t>
        </r>
        <r>
          <rPr>
            <sz val="9"/>
            <color indexed="81"/>
            <rFont val="Tahoma"/>
            <family val="2"/>
          </rPr>
          <t xml:space="preserve">
</t>
        </r>
      </text>
    </comment>
    <comment ref="A6" authorId="0" shapeId="0" xr:uid="{00000000-0006-0000-0400-000003000000}">
      <text>
        <r>
          <rPr>
            <sz val="8"/>
            <color indexed="81"/>
            <rFont val="Tahoma"/>
            <family val="2"/>
          </rPr>
          <t>Factor i.v.m. kosten verkoop en dunne markt voor MKB-bedrijven.</t>
        </r>
        <r>
          <rPr>
            <sz val="9"/>
            <color indexed="81"/>
            <rFont val="Tahoma"/>
            <family val="2"/>
          </rPr>
          <t xml:space="preserve">
</t>
        </r>
      </text>
    </comment>
    <comment ref="A29" authorId="1" shapeId="0" xr:uid="{00000000-0006-0000-0400-000004000000}">
      <text>
        <r>
          <rPr>
            <sz val="8"/>
            <color indexed="81"/>
            <rFont val="Tahoma"/>
            <family val="2"/>
          </rPr>
          <t>In geval van gedeeltelijke financiering met vreemd vermogen dient de rendementseis voor het eigen vermogen hoger te zijn.</t>
        </r>
        <r>
          <rPr>
            <sz val="9"/>
            <color indexed="81"/>
            <rFont val="Tahoma"/>
            <family val="2"/>
          </rPr>
          <t xml:space="preserve">
</t>
        </r>
      </text>
    </comment>
    <comment ref="A32" authorId="0" shapeId="0" xr:uid="{00000000-0006-0000-0400-000005000000}">
      <text>
        <r>
          <rPr>
            <sz val="8"/>
            <color indexed="81"/>
            <rFont val="Tahoma"/>
            <family val="2"/>
          </rPr>
          <t>Tax shield restperiode is  verwerkt door cashflows contant te maken tegen wacc (i.p.v. tegen keu).</t>
        </r>
        <r>
          <rPr>
            <sz val="9"/>
            <color indexed="81"/>
            <rFont val="Tahoma"/>
            <family val="2"/>
          </rPr>
          <t xml:space="preserve">
</t>
        </r>
      </text>
    </comment>
    <comment ref="A34" authorId="0" shapeId="0" xr:uid="{00000000-0006-0000-0400-000006000000}">
      <text>
        <r>
          <rPr>
            <sz val="8"/>
            <color indexed="81"/>
            <rFont val="Tahoma"/>
            <family val="2"/>
          </rPr>
          <t>Deze factor wordt zowel voor de DCFM als voor de APV gebruikt.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MFAS</author>
  </authors>
  <commentList>
    <comment ref="A21" authorId="0" shapeId="0" xr:uid="{00000000-0006-0000-0700-000001000000}">
      <text>
        <r>
          <rPr>
            <sz val="8"/>
            <color indexed="81"/>
            <rFont val="Tahoma"/>
            <family val="2"/>
          </rPr>
          <t>De contante waarde tegen keu van de belastingbesparing door de renteaftrek over het vreemde vermogen.</t>
        </r>
        <r>
          <rPr>
            <sz val="9"/>
            <color indexed="81"/>
            <rFont val="Tahoma"/>
            <family val="2"/>
          </rPr>
          <t xml:space="preserve">
</t>
        </r>
      </text>
    </comment>
    <comment ref="A24" authorId="0" shapeId="0" xr:uid="{00000000-0006-0000-0700-000002000000}">
      <text>
        <r>
          <rPr>
            <sz val="8"/>
            <color indexed="81"/>
            <rFont val="Tahoma"/>
            <family val="2"/>
          </rPr>
          <t>De tax shield voor de restperiode is verwerkt door de cashflow van de restperiode contant te maken tegen de WACC i.p.v. tegen de keu.</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hmeijer</author>
  </authors>
  <commentList>
    <comment ref="A4" authorId="0" shapeId="0" xr:uid="{00000000-0006-0000-0800-000001000000}">
      <text>
        <r>
          <rPr>
            <sz val="8"/>
            <color indexed="81"/>
            <rFont val="Tahoma"/>
            <family val="2"/>
          </rPr>
          <t>Opheffing daarvan wordt geacht onmiddellijk na acquisitie plaats te vinden. Het effect ziet u daarom niet terug in onderstaand overzicht.</t>
        </r>
        <r>
          <rPr>
            <sz val="9"/>
            <color indexed="81"/>
            <rFont val="Tahoma"/>
            <family val="2"/>
          </rPr>
          <t xml:space="preserve">
</t>
        </r>
      </text>
    </comment>
    <comment ref="A63" authorId="0" shapeId="0" xr:uid="{00000000-0006-0000-0800-000002000000}">
      <text>
        <r>
          <rPr>
            <sz val="8"/>
            <color indexed="81"/>
            <rFont val="Tahoma"/>
            <family val="2"/>
          </rPr>
          <t>Vanwege het mezzanine-karakter is financiering verkoper buiten beschouwen gelaten.</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 Denneboom | ValuePro</author>
  </authors>
  <commentList>
    <comment ref="D9" authorId="0" shapeId="0" xr:uid="{00000000-0006-0000-0900-000001000000}">
      <text>
        <r>
          <rPr>
            <b/>
            <sz val="9"/>
            <color indexed="81"/>
            <rFont val="Tahoma"/>
            <family val="2"/>
          </rPr>
          <t>Chris Denneboom | ValuePro:</t>
        </r>
        <r>
          <rPr>
            <sz val="9"/>
            <color indexed="81"/>
            <rFont val="Tahoma"/>
            <family val="2"/>
          </rPr>
          <t xml:space="preserve">
Wacc van toepassing op het OG invullen
</t>
        </r>
      </text>
    </comment>
  </commentList>
</comments>
</file>

<file path=xl/sharedStrings.xml><?xml version="1.0" encoding="utf-8"?>
<sst xmlns="http://schemas.openxmlformats.org/spreadsheetml/2006/main" count="455" uniqueCount="411">
  <si>
    <t>Geëist rendement eigen vermogen, kostenvoet eigen vermogen</t>
  </si>
  <si>
    <t>Risicovrij, rendement staatsobligaties 10 jaar</t>
  </si>
  <si>
    <t>Algemene opslag eigen vermogen</t>
  </si>
  <si>
    <t>Illiquiditeitspremie (onderdeel small company premium)</t>
  </si>
  <si>
    <t>Afhankelijkheid van dga (onderdeel small company premium)</t>
  </si>
  <si>
    <t>Afhankelijkheid leveranciers (onderdeel small company premium)</t>
  </si>
  <si>
    <t>Afhankelijkheid beperkt aantal afnemers (onderdeel small company premium)</t>
  </si>
  <si>
    <t>Risico vanwege eenzijdigheid activiteiten (bedrijfsspecifiek)</t>
  </si>
  <si>
    <t>Extra opslag</t>
  </si>
  <si>
    <t>inschatting adviseur</t>
  </si>
  <si>
    <r>
      <t xml:space="preserve">Te eisen rentabiliteit eigen vermogen </t>
    </r>
    <r>
      <rPr>
        <i/>
        <sz val="8"/>
        <rFont val="Arial"/>
        <family val="2"/>
      </rPr>
      <t>unlevered</t>
    </r>
    <r>
      <rPr>
        <sz val="8"/>
        <rFont val="Arial"/>
        <family val="2"/>
      </rPr>
      <t xml:space="preserve"> (keu)</t>
    </r>
  </si>
  <si>
    <t>Keu MKB-bedrijven</t>
  </si>
  <si>
    <t>&lt; 10% --- zeer laag</t>
  </si>
  <si>
    <t>10%-14% --- laag</t>
  </si>
  <si>
    <t>14%-20% --- normaal</t>
  </si>
  <si>
    <t>20%-25% --- hoog</t>
  </si>
  <si>
    <t>25%-30% --- zeer hoog</t>
  </si>
  <si>
    <t>&gt;30% --- extreem</t>
  </si>
  <si>
    <t>Gemiddeld percentage vreemd vermogen scenarioperiode</t>
  </si>
  <si>
    <t>Gemiddeld percentage eigen vermogen scenarioperiode</t>
  </si>
  <si>
    <t>Rente vreemd vermogen</t>
  </si>
  <si>
    <r>
      <t xml:space="preserve">Te eisen rentabiliteit eigen vermogen </t>
    </r>
    <r>
      <rPr>
        <i/>
        <sz val="8"/>
        <rFont val="Arial"/>
        <family val="2"/>
      </rPr>
      <t xml:space="preserve">levered </t>
    </r>
    <r>
      <rPr>
        <sz val="8"/>
        <rFont val="Arial"/>
        <family val="2"/>
      </rPr>
      <t>(kel) (voor WACC)</t>
    </r>
  </si>
  <si>
    <t>Tax</t>
  </si>
  <si>
    <t>WACC scenarioperiode</t>
  </si>
  <si>
    <t>Percentage vreemd vermogen restperiode</t>
  </si>
  <si>
    <t>Kel restperiode</t>
  </si>
  <si>
    <t>WACC restperiode</t>
  </si>
  <si>
    <t>Invoer</t>
  </si>
  <si>
    <t>Over te nemen zelfstandige vruchtdrager(s)</t>
  </si>
  <si>
    <t>Btw-tarief</t>
  </si>
  <si>
    <t>Omzetgroei (inclusief inflatie)</t>
  </si>
  <si>
    <t>Brutomarge</t>
  </si>
  <si>
    <t>Bedrijfskosten/omzet</t>
  </si>
  <si>
    <t>Debiteurentermijn dagen</t>
  </si>
  <si>
    <t>Voorraadtermijn in dagen</t>
  </si>
  <si>
    <t>Crediteurentermijn in dagen</t>
  </si>
  <si>
    <t>Bedrijfskosten</t>
  </si>
  <si>
    <t>Afschrijvingen</t>
  </si>
  <si>
    <t>Belasting</t>
  </si>
  <si>
    <t>Liquiditeit onderdeel van werkkapitaal</t>
  </si>
  <si>
    <t>Debiteuren</t>
  </si>
  <si>
    <t>Voorraad</t>
  </si>
  <si>
    <t>Crediteuren</t>
  </si>
  <si>
    <t>Netto werkkapitaal</t>
  </si>
  <si>
    <t>Toename (-)/afname (+) werkkapitaal</t>
  </si>
  <si>
    <t>Vrije geldstroom</t>
  </si>
  <si>
    <t>Inflatie</t>
  </si>
  <si>
    <t>Totaal bedrijfskosten</t>
  </si>
  <si>
    <t>Discounted cash flow-methode (op basis van constante wacc)</t>
  </si>
  <si>
    <t>WACC op basis vaste vermogensverhouding</t>
  </si>
  <si>
    <t>Veronderstelde vaste ratio vreemd vermogen/totaal vermogen</t>
  </si>
  <si>
    <t>∞</t>
  </si>
  <si>
    <t>totaal</t>
  </si>
  <si>
    <t>Omzet</t>
  </si>
  <si>
    <t>Kosten van de omzet</t>
  </si>
  <si>
    <t>Mutatie voorzieningen</t>
  </si>
  <si>
    <t>Winst vóór VPB</t>
  </si>
  <si>
    <t>VPB</t>
  </si>
  <si>
    <t>Toename (+)/afname (-) werkkapitaal</t>
  </si>
  <si>
    <t>Restwaarde</t>
  </si>
  <si>
    <t>Contante waarde tegen WACC</t>
  </si>
  <si>
    <t>Berekening waarde</t>
  </si>
  <si>
    <t>Contante waarde cash flows exclusief financieringkosten</t>
  </si>
  <si>
    <t>Af: over te nemen rentedragend vreemd vermogen</t>
  </si>
  <si>
    <t>Bij: zelfstandige vruchtdrager(s)</t>
  </si>
  <si>
    <t>Theoretische waarde</t>
  </si>
  <si>
    <t>Adjusted present value methode</t>
  </si>
  <si>
    <t>Geëiste rentabiliteit eigen vermogen unleveraged (keu)</t>
  </si>
  <si>
    <t>Contante waarde tegen keu</t>
  </si>
  <si>
    <t>Berekening tax shield scenarioperiode obv tab Financiering</t>
  </si>
  <si>
    <t>Rente</t>
  </si>
  <si>
    <t>Belastingvoordeel rente</t>
  </si>
  <si>
    <t xml:space="preserve">Contante waarde cash flows </t>
  </si>
  <si>
    <t xml:space="preserve">Tax shield scenarioperiode </t>
  </si>
  <si>
    <t>Van financiering naar koopsom</t>
  </si>
  <si>
    <t>Totaal te financieren</t>
  </si>
  <si>
    <t>Overgenomen financiering</t>
  </si>
  <si>
    <t>Rente overgenomen financiering</t>
  </si>
  <si>
    <t>Aflossingsvrije overnamefinanciering</t>
  </si>
  <si>
    <t>Rente aflossingsvrije financiering</t>
  </si>
  <si>
    <t>Lineair af te lossen overnamefinanciering</t>
  </si>
  <si>
    <t>Aantal jaren aflossing</t>
  </si>
  <si>
    <t>Rente af te lossen financiering</t>
  </si>
  <si>
    <t>In te brengen eigen vermogen</t>
  </si>
  <si>
    <t>Mezzaninefinanciering verkoper</t>
  </si>
  <si>
    <t>Rente financiering verkoper</t>
  </si>
  <si>
    <t>Tekort financiering</t>
  </si>
  <si>
    <t>Meer of minder (+) investeringen dan afschrijvingen</t>
  </si>
  <si>
    <t>Aflossing overgenomen financiering</t>
  </si>
  <si>
    <t>Rente aflossingvrije overnamefinanciering</t>
  </si>
  <si>
    <t>Stand af te lossen overnamefinanciering</t>
  </si>
  <si>
    <t>Aflossing</t>
  </si>
  <si>
    <t>Rente af te lossen overnamefinanciering</t>
  </si>
  <si>
    <t>Totaal rente</t>
  </si>
  <si>
    <t>Netto rentelasten exclusief financiering verkoper</t>
  </si>
  <si>
    <t>Aflossingen</t>
  </si>
  <si>
    <t>Rente en aflossingen</t>
  </si>
  <si>
    <t>Cash outflow earn out</t>
  </si>
  <si>
    <t>Stand financiering verkoper</t>
  </si>
  <si>
    <t>Aflossing financiering verkoper</t>
  </si>
  <si>
    <t>Belasting voordeel rente financiering verkoper</t>
  </si>
  <si>
    <t>Terugverdienbedrag</t>
  </si>
  <si>
    <t>Terugverdienperiode</t>
  </si>
  <si>
    <t>Opstelling t.b.v. de berekening van de tax shield</t>
  </si>
  <si>
    <t>Totale rente</t>
  </si>
  <si>
    <t>Netto rente</t>
  </si>
  <si>
    <t>Totale schuld</t>
  </si>
  <si>
    <t>EBITDA</t>
  </si>
  <si>
    <t>Resultaat voor rente</t>
  </si>
  <si>
    <t>Operationele cash flow na vervangingsinv/(rente + aflossing)     &gt; 1,3</t>
  </si>
  <si>
    <t>Rente + aflossingen</t>
  </si>
  <si>
    <t>Uitleg model waardering</t>
  </si>
  <si>
    <t>Rendementseis</t>
  </si>
  <si>
    <t xml:space="preserve">U start met het formuleren van een rendementseis. Zie hiervoor MFAS dga-1409. </t>
  </si>
  <si>
    <t>Voor de toepassing van de DCFM wordt uitgegaan van een vaste WACC. Voor de restperiode kan</t>
  </si>
  <si>
    <t>met een afwijkende WACC worden gerekend (omdat de verhouding VV/EV anders is dan tijdens de</t>
  </si>
  <si>
    <t>scenarioperiode).</t>
  </si>
  <si>
    <t>Wij adviseren de invoer in duizendtallen te doen. De waarde wordt dan uiteraard ook in duizendtallen</t>
  </si>
  <si>
    <t>APV</t>
  </si>
  <si>
    <t>De adjusted present value-methode (APV) is een variant op de discounted cashflowmethode. De te</t>
  </si>
  <si>
    <t>de contante waarde van de free cashflows</t>
  </si>
  <si>
    <t>minus de economische waarde van de overgenomen niet-operationele schulden</t>
  </si>
  <si>
    <t>minus de initiële investeringsachterstand</t>
  </si>
  <si>
    <t>minus het initiële tekort op het werkkapitaal</t>
  </si>
  <si>
    <t>plus de waarde van de tax shield</t>
  </si>
  <si>
    <t>plus de waarde van de zelfstandige vruchtdragers.</t>
  </si>
  <si>
    <t xml:space="preserve">De tax shield is de waarde van de belastingbesparing door de aftrekbaarheid van de rente op de </t>
  </si>
  <si>
    <t>overnamefinanciering. In het model wordt aangesloten bij de ontwikkeling van de overnamefinanciering</t>
  </si>
  <si>
    <t>in de scenarioperiode zoals ingevuld in de tab Financiering.</t>
  </si>
  <si>
    <t xml:space="preserve">restperiode te doen tegen de WACC-rest i.p.v. tegen de keu. </t>
  </si>
  <si>
    <t>DCFM</t>
  </si>
  <si>
    <t xml:space="preserve">Bij de DCFM worden de free cashflows contant gemaakt tegen de WACC (weighted average cost of </t>
  </si>
  <si>
    <t>Het model maakt onderscheid tussen de WACC voor de scenarioperiode en de WACC voor de</t>
  </si>
  <si>
    <t>restperiode. De restwaarde inclusief de tax shield wordt bij de APV en de DCFM op dezelfde manier</t>
  </si>
  <si>
    <t>berekend (op basis van de WACC-rest).</t>
  </si>
  <si>
    <t>Financiering</t>
  </si>
  <si>
    <t>Op de tab Financiering kan berekend worden of de overname financieringstechnisch haalbaar is. Er wordt getoetst aan drie gangbare bancaire financieringsnormen. Het is doorgaans voldoende als aan de eerste twee wordt voldaan. Het model biedt de mogelijkheid financiering door de verkoper in te bouwen. Soms is het nodig dat op deze financiering aflossingen enige jaren achterwege blijven. Soms is het zelfs nodig de rente bij te laten schrijven. Dat kan door de aflossing op een negatief bedrag te stellen (regel 49).</t>
  </si>
  <si>
    <t xml:space="preserve">Een vuistregel in het MKB is dat de koopsom reëel is als de overnamefinanciering in 7 jaar kan worden </t>
  </si>
  <si>
    <r>
      <t>afgelost uit de cashflow. Het model geeft met een "</t>
    </r>
    <r>
      <rPr>
        <sz val="8"/>
        <color indexed="10"/>
        <rFont val="Arial"/>
        <family val="2"/>
      </rPr>
      <t>x</t>
    </r>
    <r>
      <rPr>
        <sz val="8"/>
        <rFont val="Arial"/>
        <family val="2"/>
      </rPr>
      <t>" in regel 55 weer wanneer de koopsom is terug-</t>
    </r>
  </si>
  <si>
    <t>verdiend. Het terugverdienbedrag is gesteld op de cashflow na financieringslasten, vermeerderd met de aflossingen op de financiering van de bank en die van de verkoper.</t>
  </si>
  <si>
    <t>VPB operationeel resultaat</t>
  </si>
  <si>
    <t>Koopsom</t>
  </si>
  <si>
    <t>Restwaarde tegen wacc</t>
  </si>
  <si>
    <t xml:space="preserve">De tax shield voor de restperiode is verwerkt door de contantmaking van de cashflows in de </t>
  </si>
  <si>
    <t>Anders dan bij de DCFM wordt de free cashflow contant gemaakt tegen de keu.</t>
  </si>
  <si>
    <t>Tax shield afschrijvingspotentieel in geval van activadeal</t>
  </si>
  <si>
    <t>Waarde in geval van aandelendeal</t>
  </si>
  <si>
    <t>Meerwaarde pand</t>
  </si>
  <si>
    <t>Meerwaarde overige activa</t>
  </si>
  <si>
    <t>tax shield</t>
  </si>
  <si>
    <t>Tax shield pand en overige activa</t>
  </si>
  <si>
    <t>Tax shield goodwill</t>
  </si>
  <si>
    <t>Waarde in geval van activadeal</t>
  </si>
  <si>
    <t>Goodwill exclusief tax shield</t>
  </si>
  <si>
    <t>Percentage afschrijfbaarheid pand</t>
  </si>
  <si>
    <t xml:space="preserve">Meerwaarde pand </t>
  </si>
  <si>
    <t>Percentage afschrijfbaarheid overige activa</t>
  </si>
  <si>
    <t>Intrinsieke waarde excl meerw pand en ov activa</t>
  </si>
  <si>
    <t>discon-tering</t>
  </si>
  <si>
    <t>Waarde i.g.v. activadeal</t>
  </si>
  <si>
    <t>afschrijving in jaren</t>
  </si>
  <si>
    <t>Goodwill gebruteerd voor tax shield</t>
  </si>
  <si>
    <t>Reconciation</t>
  </si>
  <si>
    <t>Af: belastinglatentie pand</t>
  </si>
  <si>
    <t>Af: belastinglatentie overige activa</t>
  </si>
  <si>
    <t>Af: belastinglatentie goodwill</t>
  </si>
  <si>
    <t>Prijs aandelendeal</t>
  </si>
  <si>
    <t>Intrinsieke waarde excl meerwaarde pand/overige activa</t>
  </si>
  <si>
    <t>Activadeal</t>
  </si>
  <si>
    <t>Goodwill inclusief tax shield</t>
  </si>
  <si>
    <t>Effect afkappen</t>
  </si>
  <si>
    <t>Afkappen restwaarde</t>
  </si>
  <si>
    <t>Genormaliseerde cashflow restperiode</t>
  </si>
  <si>
    <t>Effect afkappen restwaarde</t>
  </si>
  <si>
    <t>Geldstroom exclusief financieringskosten</t>
  </si>
  <si>
    <t>Geldstroom na rente en aflossingen</t>
  </si>
  <si>
    <t>Cashflow na rente en aflossing bank en earn out</t>
  </si>
  <si>
    <t>Cashflow na rente en aflossing bank en rente verkoper</t>
  </si>
  <si>
    <t>Free cashflow</t>
  </si>
  <si>
    <t>Afkappen na … jaar</t>
  </si>
  <si>
    <t>Het werkkapitaal kan positief worden beïnvloed door de debiteurentermijn te verkorten en de betaal-</t>
  </si>
  <si>
    <t>termijn voor de crediteuren te verlengen. Dit leidt tot een hogere te berekenen waarde.</t>
  </si>
  <si>
    <t>In het model wordt eenvoudshalve verondersteld dat de cashflow steeds aan het einde van het jaar</t>
  </si>
  <si>
    <t>wordt gerealiseerd (jaarconventie).</t>
  </si>
  <si>
    <t>Er wordt onderscheid gemaakt tussen de scenarioperiode en de restperiode. De gedachte hierachter</t>
  </si>
  <si>
    <t>is dat voor een beperkt aantal jaren een redelijke inschatting van de cashflow kan worden gemaakt.</t>
  </si>
  <si>
    <t>Te denken valt aan een omzetstijging en een investeringsprogramma in vaste activa.</t>
  </si>
  <si>
    <t xml:space="preserve">berekenen waarde is gelijk aan: </t>
  </si>
  <si>
    <t>(liquiditeit + debiteuren + voorraad - crediteuren). Het werkkapitaal neemt normaliter toe als de omzet</t>
  </si>
  <si>
    <t xml:space="preserve">stijgt. Dit vergt een extra vermogensbeslag (cash out in de free cashflow). </t>
  </si>
  <si>
    <t>capital). Zie MFAS dga-1409. Het fiscale voordeel van de renteaftrek zit hierin verwerkt, zodat geen</t>
  </si>
  <si>
    <t>aparte tax shield hoeft te worden berekend. Voor de restperiode kan met een afwijkende WACC</t>
  </si>
  <si>
    <t>worden gerekend. Omdat bij de DCFM met een vaste WACC wordt gerekend, wijkt de uitkomst van de</t>
  </si>
  <si>
    <t xml:space="preserve">DCFM (iets) af van die van de APV. De veronderstelling van de vaste vermogensverhouding is uit </t>
  </si>
  <si>
    <t>eenvoudsoverwegingen gemaakt. Als u het voordeel van de renteaftrek op basis van de werkelijke</t>
  </si>
  <si>
    <t>Bij onderhandelingen kan het uitgangspunt van de eeuwigdurende reeks ter discusie worden gesteld.</t>
  </si>
  <si>
    <t>De verkoper zou dan als gebaar een korting op de vraagprijs kunnen bieden gebaseerd op het afkap-</t>
  </si>
  <si>
    <t>pen van de restwaarde na een aantal jaren. Deze korting valt vaak lager uit dan men op het eerste</t>
  </si>
  <si>
    <t>gezicht zou denken. Dat heeft te maken met de hoge disconteringsvoet.</t>
  </si>
  <si>
    <t>De DCFM-waarde is gebaseerd op een aandelendeal. Als bij een activadeal een fiscaal afschrijvings-</t>
  </si>
  <si>
    <t>Risico door beperkte track-record (bedrijfsspecifiek)</t>
  </si>
  <si>
    <t>Risico door beperkte flexibiliteit (bedrijfsspecifiek)</t>
  </si>
  <si>
    <t>Risico door beperkte toetredingsbarrières (bedrijfsspecifiek)</t>
  </si>
  <si>
    <t>Overige vorderingen</t>
  </si>
  <si>
    <t>Totaal activa</t>
  </si>
  <si>
    <t>Eigen vermogen</t>
  </si>
  <si>
    <t>Voorzieningen  - Stand einde van het jaar</t>
  </si>
  <si>
    <t>Algemeen</t>
  </si>
  <si>
    <t>Overige passiva</t>
  </si>
  <si>
    <t>Totaal passiva</t>
  </si>
  <si>
    <t>Bedrijfsresultaat - EBIT</t>
  </si>
  <si>
    <t>Gecorrigeerd bedrijfsresultaat</t>
  </si>
  <si>
    <t>Bedrijfsresultaat - EBITDA</t>
  </si>
  <si>
    <t>Effectief vpb-tarief</t>
  </si>
  <si>
    <t>Operationele cashflow</t>
  </si>
  <si>
    <t>Mutatie netto werkkapitaal</t>
  </si>
  <si>
    <t>Investeringen vaste activa</t>
  </si>
  <si>
    <t>Rekening-courant bank</t>
  </si>
  <si>
    <t>Resultaat voor belasting</t>
  </si>
  <si>
    <t>Resultaat na belasting</t>
  </si>
  <si>
    <t>Rente over vreemd vermogen en RC bank</t>
  </si>
  <si>
    <t>Solvabiliteit</t>
  </si>
  <si>
    <t>EBITDA to sales</t>
  </si>
  <si>
    <t>Netto bedrijfsresultaat - NOPLAT</t>
  </si>
  <si>
    <t>Investeringsachterstand</t>
  </si>
  <si>
    <t>Af: investeringsachterstand</t>
  </si>
  <si>
    <t>Resultaat voor rente/rente                                                              &gt; 3</t>
  </si>
  <si>
    <t>Totale schuld/EBITDA                                                                      &lt; 4</t>
  </si>
  <si>
    <t>Financieringsratio's                                                                      norm</t>
  </si>
  <si>
    <t>EV / (EV + VV)</t>
  </si>
  <si>
    <t>Meer (-) of minder (+) capex dan afschrijvingen</t>
  </si>
  <si>
    <t>Valuedrivers en ratio's balans</t>
  </si>
  <si>
    <t>Valuedrivers en ratio's exploitatie</t>
  </si>
  <si>
    <t>Brutowinst</t>
  </si>
  <si>
    <t>Salarissen en lonen</t>
  </si>
  <si>
    <t>Sociale lasten</t>
  </si>
  <si>
    <t>Pensioenlasten</t>
  </si>
  <si>
    <t>Directiebeloning</t>
  </si>
  <si>
    <t>Reiskosten personeel</t>
  </si>
  <si>
    <t>Opleidingskosten</t>
  </si>
  <si>
    <t>Overige personeelskosten</t>
  </si>
  <si>
    <t>Huur</t>
  </si>
  <si>
    <t>Energie en water</t>
  </si>
  <si>
    <t>Verzekeringen</t>
  </si>
  <si>
    <t>Onderhoud en schoonmaak</t>
  </si>
  <si>
    <t>Vaste lasten</t>
  </si>
  <si>
    <t>Overige huisvestingskosten</t>
  </si>
  <si>
    <t>Reclame- en advertentiekosten</t>
  </si>
  <si>
    <t>Beurskosten</t>
  </si>
  <si>
    <t>Sponsorkosten</t>
  </si>
  <si>
    <t>Overige verkoopkosten</t>
  </si>
  <si>
    <t>Autokosten</t>
  </si>
  <si>
    <t>Reparatie en onderhoud</t>
  </si>
  <si>
    <t>Brandstofkosten</t>
  </si>
  <si>
    <t>Verzekereringen</t>
  </si>
  <si>
    <t>Huur- / leasekosten</t>
  </si>
  <si>
    <t>Overige autokosten</t>
  </si>
  <si>
    <t>Accountant- en advieskosten</t>
  </si>
  <si>
    <t>Abonnementen en contributies</t>
  </si>
  <si>
    <t>Telefoon / internet</t>
  </si>
  <si>
    <t>Drukwerk en porti</t>
  </si>
  <si>
    <t>Kantoorkosten</t>
  </si>
  <si>
    <t>Verzekeringen algemeen</t>
  </si>
  <si>
    <t>Overige algemene kosten</t>
  </si>
  <si>
    <t>Algemene kosten, genormaliseerd</t>
  </si>
  <si>
    <t>Algemene groei of inflatie</t>
  </si>
  <si>
    <t>Verkoopkosten</t>
  </si>
  <si>
    <t>Huisvestingskosten</t>
  </si>
  <si>
    <t>Personeelskosten</t>
  </si>
  <si>
    <t>Kostprijs van de omzet</t>
  </si>
  <si>
    <t>Netto omzet</t>
  </si>
  <si>
    <t>Belastingen en premies</t>
  </si>
  <si>
    <t>Bonussen</t>
  </si>
  <si>
    <t>Afschrijving gebouwen en terreinen</t>
  </si>
  <si>
    <t>Afschrijving inventaris</t>
  </si>
  <si>
    <t>Afschrijving voertuigen</t>
  </si>
  <si>
    <t>Afschrijving overige bedrijfsuitrusting</t>
  </si>
  <si>
    <t>Bedrijfsresultaat - EBITA</t>
  </si>
  <si>
    <t>Amortisatie (afschrijving) immateriële vaste activa</t>
  </si>
  <si>
    <t>Immateriële vaste activa - Investeringen minus desinvesteringen</t>
  </si>
  <si>
    <t>Immateriële vaste activa - Amortisatie (afschrijving)</t>
  </si>
  <si>
    <t>Gebouwen en terreinen - Investeringen minus desinvesteringen</t>
  </si>
  <si>
    <t>Gebouwen en terreinen - Afschrijvingen</t>
  </si>
  <si>
    <t>Inventaris - Investeringen minus desinvesteringen</t>
  </si>
  <si>
    <t>Inventaris - Afschrijvingen</t>
  </si>
  <si>
    <t>Voertuigen - Investeringen minus desinvesteringen</t>
  </si>
  <si>
    <t>Voertuigen - Afschrijvingen</t>
  </si>
  <si>
    <t>Overige bedrijfsuitrusting - Investeringen minus desinvesteringen</t>
  </si>
  <si>
    <t>Overige bedrijfsuitrusting - Afschrijvingen</t>
  </si>
  <si>
    <t>Overige bedrijfsuitrusting - Stand einde van het jaar</t>
  </si>
  <si>
    <t>Onderhandenwerk</t>
  </si>
  <si>
    <t>Onderhandenwerktermijn in dagen</t>
  </si>
  <si>
    <t>R/C groepsmaatschappijen</t>
  </si>
  <si>
    <t>R/C gelieerde partijen</t>
  </si>
  <si>
    <t>Te vorderen winstbelasting</t>
  </si>
  <si>
    <t>Te vorderen omzetbelasting</t>
  </si>
  <si>
    <t>Te betalen winstbelasting</t>
  </si>
  <si>
    <t>Te betalen omzetbelasting</t>
  </si>
  <si>
    <t>Te betalen overige belastingen</t>
  </si>
  <si>
    <t>Te betalen pensioenlasten</t>
  </si>
  <si>
    <t>Ontvangen vooruitbetalingen</t>
  </si>
  <si>
    <t>Reservering vakantiegeld en -dagen</t>
  </si>
  <si>
    <t>Omzetbelasting te betalen (+) of te vorderen (-)</t>
  </si>
  <si>
    <t>Voertuigen                        - Stand einde van het jaar</t>
  </si>
  <si>
    <t>Inventaris                          - Stand einde van het jaar</t>
  </si>
  <si>
    <t>Gebouwen en terreinen   - Stand einde van het jaar</t>
  </si>
  <si>
    <t>Immateriële vaste activa   - Stand einde van het jaar</t>
  </si>
  <si>
    <t>Financiële vaste activa     - Stand einde van het jaar</t>
  </si>
  <si>
    <t>Vpb-tarief eerste schijf</t>
  </si>
  <si>
    <t>Vpb-tarief tweede schijf</t>
  </si>
  <si>
    <t>Ontvangen vergoedingen</t>
  </si>
  <si>
    <t>Ingehuurd personeel</t>
  </si>
  <si>
    <t>Kosten uitbesteed werk</t>
  </si>
  <si>
    <r>
      <t xml:space="preserve">Representatiekosten </t>
    </r>
    <r>
      <rPr>
        <i/>
        <sz val="8"/>
        <color indexed="8"/>
        <rFont val="Arial"/>
        <family val="2"/>
      </rPr>
      <t>- Huisstijl/mailing</t>
    </r>
  </si>
  <si>
    <t>Afschrijvingen en amortisatie</t>
  </si>
  <si>
    <t>Aangifte aantal keren per jaar</t>
  </si>
  <si>
    <t>Aangifte omzetbelasting:</t>
  </si>
  <si>
    <t>Toename (-)afname / (+) werkkapitaal</t>
  </si>
  <si>
    <t>Correctie resultaat voor belasting</t>
  </si>
  <si>
    <t>Build-up methode*</t>
  </si>
  <si>
    <t>Omzetgroep 1</t>
  </si>
  <si>
    <t>Omzetgroep 2</t>
  </si>
  <si>
    <t>Omzetgroep 3</t>
  </si>
  <si>
    <t>Omzetgroep 4</t>
  </si>
  <si>
    <t>Omzetgroep 5</t>
  </si>
  <si>
    <t>De  small company-opslagen zijn gebaseerd op een onderzoek van BDO</t>
  </si>
  <si>
    <t>en het BDO model voor niet beursgenoteerde ondernemingen.</t>
  </si>
  <si>
    <t>De rendementseis van MKB-bedrijven pleegt te liggen in de range 14%-20%.</t>
  </si>
  <si>
    <t xml:space="preserve">In de restperiode wordt een stabiele situatie verondersteld, waarin geen structurele groei maar alleen </t>
  </si>
  <si>
    <t xml:space="preserve">inflatoire groei, sprake is van een ideaalcomplex voor de vaste activa en geen verschil is tussen </t>
  </si>
  <si>
    <t>Contante waardefactor</t>
  </si>
  <si>
    <t>Contante waarde eeuwigdurend vanaf jaar 7</t>
  </si>
  <si>
    <t>Arbeidsquote (salarissen en inhuur / brutowinst)</t>
  </si>
  <si>
    <t>Aandachtspunten</t>
  </si>
  <si>
    <r>
      <rPr>
        <u/>
        <sz val="8"/>
        <rFont val="Arial"/>
        <family val="2"/>
      </rPr>
      <t>Invoer balans:</t>
    </r>
    <r>
      <rPr>
        <sz val="8"/>
        <rFont val="Arial"/>
        <family val="2"/>
      </rPr>
      <t xml:space="preserve"> debiteuren, voorraad en crediteuren worden gestuurd vanuit de kengetallen in de prognose. Een aanpassing van de waarden dient in de kengetallen gecorrigeerd te worden. De overige waarden kunnen handmatig ingevoerd worden. De investeringen in vaste activa kunt u in de balansprognose ingeven. Daarvoor kunt aan de linkerzijde van het tabblad de corresponderende regel openklappen (klik op </t>
    </r>
    <r>
      <rPr>
        <b/>
        <sz val="8"/>
        <rFont val="Arial"/>
        <family val="2"/>
      </rPr>
      <t>+</t>
    </r>
    <r>
      <rPr>
        <sz val="8"/>
        <rFont val="Arial"/>
        <family val="2"/>
      </rPr>
      <t>). De afschrijvingen dient u zelf uit te rekenen en in de exploitatieprognose in te voeren. Houdt voor alle overige activa en passiva rekening met dat deze zich logisch dienen te ontwikkelen in lijn met de exploitatieprognose. De prognose balans zal altijd automatisch in evenwicht worden gebracht door een overschot aan liquide middelen of een vermogensbehoefte.</t>
    </r>
  </si>
  <si>
    <r>
      <rPr>
        <u/>
        <sz val="8"/>
        <rFont val="Arial"/>
        <family val="2"/>
      </rPr>
      <t>Invoer exploitatierekening:</t>
    </r>
    <r>
      <rPr>
        <sz val="8"/>
        <rFont val="Arial"/>
        <family val="2"/>
      </rPr>
      <t xml:space="preserve"> omzet in de prognose volgens kengetal groei. Inkoopwaardeomzet wordt in de prognose per groep van het jaar daarvoor procentueel overgenomen. Personeelskosten worden in de prognose gestuurd door het kengetal arbeidsquote van het voorgaande jaar (hierbij worden de lonen en salarisen en inhuur derden als één beschouwd). Aanpassingen in de prognose kunnen gemaakt worden door de  salariskosten in de prognose te overschrijven. Huisvestingskosten worden geindexeerd op basis van het laatst gerealiseerde jaar. Verkoopkosten wordt het gemiddelde percentage van de afgelopen 3 jaar ten opzichte van de omzet als uitgangspunt genomen en stijgt gelijk mee met de omzet. Transport en overige bedrijfskosten wordt het gemiddelde van de afgelopen 3 jaar geindexeerd. Voor de bedrijfskosten geldt dat de waarden in de prognose overschreven kunnen worden indien deze aangepast moeten worden.</t>
    </r>
  </si>
  <si>
    <t>investeringen en afschrijvingen. Een kortere scenarioperiode is geen probleem in het model. U kunt dan vanaf een bepaald scenariojaar overgaan tot uitsluitend indexatie. Indien u een langere scenarioperiode nodig heeft omdat er buiten de vijf jaar die het model hanteert nog structurele groei plaatsvindt dient u een eigen model te bouwen of het model uit te breiden met extra prognosejaren. Het model geeft 6 prognosejaren weer. Hiervan zijn 5 jaren daadwerkelijke prognosejaren waarin structurele groei opgevoerd kan worden. Het 6e jaar is het zogenaamde stabilisatiejaar. In dit jaar gaat u uit van slechts inflatoire groei om het ideaalcomplex te bereiken voor de restperiode en om een werkkapitaalmutatie te krijgen die past bij inflatoire groei.</t>
  </si>
  <si>
    <t>2% maximaal risico o.b.v. BDO model</t>
  </si>
  <si>
    <t>Start</t>
  </si>
  <si>
    <t>De eerste stap in dit model is het invoeren van het laatste historische jaar, het jaar van het</t>
  </si>
  <si>
    <t>Vervolgens kunt u  verder met de onderstaande onderdelen.</t>
  </si>
  <si>
    <t>waarderingsmoment; zie bovenaan in het tabblad "Invoer algemeen en balans". Daarbij geeft u ook</t>
  </si>
  <si>
    <t>Notatie bedragen</t>
  </si>
  <si>
    <t>aan of de invoer in euro's is of in duizendtallen, zie keuze bij Notatie bedragen.</t>
  </si>
  <si>
    <t>Bedrag eerste schijf (denk aan notatie bedragen)</t>
  </si>
  <si>
    <t>Uitkering dividend</t>
  </si>
  <si>
    <t>Over te nemen zelfstandige vruchtdrager: liquide middelen balans</t>
  </si>
  <si>
    <t xml:space="preserve">Over te rentedragend vreemd vermogen </t>
  </si>
  <si>
    <t xml:space="preserve">Rentedragend vreemd vermogen </t>
  </si>
  <si>
    <t>Debt like items en correctieschulden</t>
  </si>
  <si>
    <t>Waarderingsdatum (ultimo)</t>
  </si>
  <si>
    <t xml:space="preserve"> Speciale aandacht vereisen de eventuele mutaties in het werkkapitaal</t>
  </si>
  <si>
    <t>vermogensverhouding wilt hanteren, dient u het grpognositiceerd verloop van het vreemd vermogen in de balans op te nemen en de uitkomst van de APV gebruiken.</t>
  </si>
  <si>
    <t>Voor de goede orde wijzen wij erop dat voornoemde veronderstelling van een vaste vermogensverhouding bij toepassing van één WACC in strijd met de realiteit is, doch het verschil is vaak niet materieel.</t>
  </si>
  <si>
    <t xml:space="preserve">berekend. In de tabbladen 'invoer algemeen en balans' en 'Invoer exploitatie' voert u de historische jaarrekeningen in en geeft u de waarden voor de prognose balans en exploitatieprognose is. De vrije kasstroom of free cashflow wordt op basis van uw invoer automatisch berekend. Hiervoor zijn allereerst de omzet en de kosten van belang. </t>
  </si>
  <si>
    <t>Overtollige liquide middelen / zelfstandige vruchtdrager(s)</t>
  </si>
  <si>
    <t>www.valuepro.nl</t>
  </si>
  <si>
    <t>Voor meer informatie over bedrijfswaardering zie</t>
  </si>
  <si>
    <t xml:space="preserve">www.mfas.nl </t>
  </si>
  <si>
    <t xml:space="preserve">Voor meer rekenmodellen t.b.v. fiscale kwesties en financiele planning zie </t>
  </si>
  <si>
    <t xml:space="preserve">Dit rekenmodel is een coproductie van MFAS en 
ValuePro bedrijfswaardering &amp; advies  </t>
  </si>
  <si>
    <t xml:space="preserve">potentieel ontstaat over stille reserves en goodwill, vertegenwoordigt dit een zekere waarde (tax shield). </t>
  </si>
  <si>
    <t>In dat geval is de waarde bij een activadeal hoger dan bij een aandelendeal.</t>
  </si>
  <si>
    <t>De waarde is gelijk aan de contante waarde van de belastingheffing over het verschil in afschrijvingen bij een aandelentransactie en een activatransactie</t>
  </si>
  <si>
    <t>De bruto goodwill en de bruto stille reserves zijn het verschil tussen de intrinsieke waarde (boekhoudkundige waarde) en de berekende econmische waarde</t>
  </si>
  <si>
    <t xml:space="preserve">Houd er hierbij rekening mee dat de tax shield over de goodwill ook weer over mag worden afgeschreven. Om de juiste tax shield over de goodwill te berekenen, dient derhalve een brutering plaats te vinden. In het rekenmodel hebben we een vereenvoudigde berekening opgenomen. Om de het verschil exact uit te rekenen dienen de juiste afschrijvingstermijnen voor de vaste activa te worden berekend. </t>
  </si>
  <si>
    <t>In het MKB pleegt dit te liggen in de bandbreedt 14%-20%</t>
  </si>
  <si>
    <t>*Een wijze om de kostenvoet van het eigen vermogen te verkrijgen is het Capital Asset Pricing Model (CAPM). De risicovrije rente wordt vermeerderd met het marktrisicopremie, die vermenigvuldigd wordt met een beta: de variabiliteit van de onderneming ten opzichte van de markt als geheel.
Het is de vraag of CAPM geschikt is voor het MKB. In het model wordt namelijk verondersteld dat de belegger/aandeelhouder gediversifieerd is, ofwel de beleggingsportefeuille wordt steeds op zo een wijze samengesteld dat balans bestaat. Een MKB ondernemer heeft echter aandelen in zijn onderneming en zal deze aanhouden, feitelijk een ‘buy and hold’ strategie
Als alternatief kan de Build-up methode dienen, de methode die hier ook gebruikt wordt. Bij de Build-up methode wordt de kostenvoet opgebouwd uit verschillende bestanddelen, zoals de naam al aangeeft. De bestanddelen zijn de risicovrije rente, de marktrisicopremie vermenigvuldigd met de Beta (die bij de Build-up methode gelijk gesteld wordt aan 1), de premie voor kleinschaligheid en het specifieke bedrijfsrisico. De in dit model opgenomen relatief weging van small firm en specific firm premie zijn ontleend aan het BDO build up model.Hierbij heeft BDO zich met het opstellen van het model met name gericht op ondernemingen met ondernemingswaardes vanaf circa 1 miljoen euro tot enkele tientallen miljoenen euro’s</t>
  </si>
  <si>
    <t>Effectief vpb-tarief op gecorrigeerd bedrijfsresultaat</t>
  </si>
  <si>
    <t>Bedrijfsresultaat</t>
  </si>
  <si>
    <t>Dotatie (+) / vrijval (-) voorziening</t>
  </si>
  <si>
    <t>Vrije kasstroom</t>
  </si>
  <si>
    <t>Invoer exploitatie</t>
  </si>
  <si>
    <t>Invoer algemeen en balans</t>
  </si>
  <si>
    <t>Rente-tarief</t>
  </si>
  <si>
    <t>Illiquiditeitsopslag DCF</t>
  </si>
  <si>
    <t>x 1.000</t>
  </si>
  <si>
    <t>Keu</t>
  </si>
  <si>
    <t>Illiquiditeitsopslag</t>
  </si>
  <si>
    <t>Aantal maanden tussen waarderingsmoment en ontvangst koopsom</t>
  </si>
  <si>
    <t>Illiquiditeitspremie</t>
  </si>
  <si>
    <t>Als percentage van de ondernemingswaarde</t>
  </si>
  <si>
    <t>Verkoopopbrengst</t>
  </si>
  <si>
    <t>Rentecorrectie</t>
  </si>
  <si>
    <t>Waardering bij illiqiditeitsopslag</t>
  </si>
  <si>
    <t>Bij: transactiekosten conform build up</t>
  </si>
  <si>
    <t>Af: geschatte transactiekosten</t>
  </si>
  <si>
    <t>Waarde volgens afslagmethode</t>
  </si>
  <si>
    <t>Ondernemingswaarde bij keu zonder illiquiditeitsopslag</t>
  </si>
  <si>
    <t>Ondernemingswaarde bij keu (APV methode)</t>
  </si>
  <si>
    <t>Impliciete transactiekosten op basis van build up rendementseis</t>
  </si>
  <si>
    <t>Alternatief: transactiekosten als percentage van ondernemingswaarde</t>
  </si>
  <si>
    <t>Percentage kosten o.a. accountant, M&amp;A adviseur en juridische kosten</t>
  </si>
  <si>
    <t>Totaal transactiekosten</t>
  </si>
  <si>
    <t>Hogere waarde bij geschatte transactiekosten methode</t>
  </si>
  <si>
    <t>Percentage transactiekosten</t>
  </si>
  <si>
    <t>Aantal</t>
  </si>
  <si>
    <t>maanden</t>
  </si>
  <si>
    <t>tussen</t>
  </si>
  <si>
    <t>waardering</t>
  </si>
  <si>
    <t>en transactie</t>
  </si>
  <si>
    <t>Gevoeligheidsanalyse transactiekosten: verschil in waarde methoden</t>
  </si>
  <si>
    <t>Illiq-opslag</t>
  </si>
  <si>
    <t>In dit tabblad wordt het verschil inzichtelijk gemaakt tussen het hanteren van een illiquiditeitsopslag in</t>
  </si>
  <si>
    <t>de rendementseis, zie ook het tabblad over de rendementseis, en een afslag op de waarde op basis</t>
  </si>
  <si>
    <t>van een vast percentage aan transactiekosten.</t>
  </si>
  <si>
    <t>De waarde uit de APV sheet wordt als basis genomen. In dit tabblad wordt de waarde ook berekend</t>
  </si>
  <si>
    <t>zonder de illiquiditeitsopslag zoals opgenomen in de rendementseis. Het verschil tussen deze twee</t>
  </si>
  <si>
    <t>waarden bestaat uit een rentecomponent en een component (het restant) voor de transactiekosten.</t>
  </si>
  <si>
    <t>Deze transactiekosten die resteren uit de gehanteerde build up methode wordt vergeleken met de</t>
  </si>
  <si>
    <t>transactiekosten op basis van de berekend op basis van een vast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</si>
</sst>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3" formatCode="_ * #,##0.00_ ;_ * \-#,##0.00_ ;_ * &quot;-&quot;??_ ;_ @_ "/>
    <numFmt numFmtId="164" formatCode="0.0%"/>
    <numFmt numFmtId="165" formatCode="_ * #,##0_ ;_ * \-#,##0_ ;_ * &quot;-&quot;??_ ;_ @_ "/>
    <numFmt numFmtId="166" formatCode="#,##0.00000000000000"/>
    <numFmt numFmtId="167" formatCode="#,##0_ ;[Red]\-#,##0\ "/>
  </numFmts>
  <fonts count="34" x14ac:knownFonts="1">
    <font>
      <sz val="11"/>
      <color theme="1"/>
      <name val="Calibri"/>
      <family val="2"/>
      <scheme val="minor"/>
    </font>
    <font>
      <b/>
      <sz val="10"/>
      <color indexed="9"/>
      <name val="Arial"/>
      <family val="2"/>
    </font>
    <font>
      <sz val="8"/>
      <name val="Arial"/>
      <family val="2"/>
    </font>
    <font>
      <i/>
      <sz val="8"/>
      <name val="Arial"/>
      <family val="2"/>
    </font>
    <font>
      <u/>
      <sz val="10"/>
      <color indexed="12"/>
      <name val="Arial"/>
      <family val="2"/>
    </font>
    <font>
      <u/>
      <sz val="8"/>
      <color indexed="12"/>
      <name val="Arial"/>
      <family val="2"/>
    </font>
    <font>
      <sz val="8"/>
      <name val="Tahoma"/>
      <family val="2"/>
    </font>
    <font>
      <sz val="8"/>
      <color indexed="81"/>
      <name val="Tahoma"/>
      <family val="2"/>
    </font>
    <font>
      <sz val="9"/>
      <color indexed="81"/>
      <name val="Tahoma"/>
      <family val="2"/>
    </font>
    <font>
      <b/>
      <sz val="8"/>
      <name val="Arial"/>
      <family val="2"/>
    </font>
    <font>
      <sz val="8"/>
      <color indexed="10"/>
      <name val="Arial"/>
      <family val="2"/>
    </font>
    <font>
      <sz val="9"/>
      <name val="Arial"/>
      <family val="2"/>
    </font>
    <font>
      <b/>
      <sz val="9"/>
      <name val="Arial"/>
      <family val="2"/>
    </font>
    <font>
      <sz val="11"/>
      <color indexed="9"/>
      <name val="Arial"/>
      <family val="2"/>
    </font>
    <font>
      <b/>
      <sz val="8"/>
      <color indexed="9"/>
      <name val="Arial"/>
      <family val="2"/>
    </font>
    <font>
      <sz val="8"/>
      <color indexed="9"/>
      <name val="Arial"/>
      <family val="2"/>
    </font>
    <font>
      <u/>
      <sz val="8"/>
      <name val="Arial"/>
      <family val="2"/>
    </font>
    <font>
      <i/>
      <sz val="8"/>
      <color indexed="8"/>
      <name val="Arial"/>
      <family val="2"/>
    </font>
    <font>
      <sz val="10"/>
      <name val="Arial"/>
      <family val="2"/>
    </font>
    <font>
      <b/>
      <sz val="9"/>
      <color indexed="81"/>
      <name val="Tahoma"/>
      <family val="2"/>
    </font>
    <font>
      <sz val="11"/>
      <color theme="1"/>
      <name val="Calibri"/>
      <family val="2"/>
      <scheme val="minor"/>
    </font>
    <font>
      <sz val="9"/>
      <color theme="1"/>
      <name val="Arial"/>
      <family val="2"/>
    </font>
    <font>
      <sz val="11"/>
      <color theme="1"/>
      <name val="Arial"/>
      <family val="2"/>
    </font>
    <font>
      <b/>
      <sz val="10"/>
      <color theme="0"/>
      <name val="Arial"/>
      <family val="2"/>
    </font>
    <font>
      <sz val="13"/>
      <color theme="1"/>
      <name val="Arial"/>
      <family val="2"/>
    </font>
    <font>
      <sz val="10"/>
      <color theme="1"/>
      <name val="Arial"/>
      <family val="2"/>
    </font>
    <font>
      <sz val="8"/>
      <color theme="1"/>
      <name val="Arial"/>
      <family val="2"/>
    </font>
    <font>
      <i/>
      <sz val="8"/>
      <color theme="1"/>
      <name val="Arial"/>
      <family val="2"/>
    </font>
    <font>
      <sz val="8"/>
      <color rgb="FFFF0000"/>
      <name val="Arial"/>
      <family val="2"/>
    </font>
    <font>
      <b/>
      <sz val="8"/>
      <color theme="1"/>
      <name val="Arial"/>
      <family val="2"/>
    </font>
    <font>
      <i/>
      <sz val="8"/>
      <color rgb="FFFF0000"/>
      <name val="Arial"/>
      <family val="2"/>
    </font>
    <font>
      <sz val="8"/>
      <color theme="0"/>
      <name val="Arial"/>
      <family val="2"/>
    </font>
    <font>
      <sz val="8"/>
      <color theme="1"/>
      <name val="Calibri"/>
      <family val="2"/>
      <scheme val="minor"/>
    </font>
    <font>
      <b/>
      <i/>
      <sz val="8"/>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6">
    <xf numFmtId="0" fontId="0" fillId="0" borderId="0"/>
    <xf numFmtId="0" fontId="4" fillId="0" borderId="0" applyNumberFormat="0" applyFill="0" applyBorder="0" applyAlignment="0" applyProtection="0">
      <alignment vertical="top"/>
      <protection locked="0"/>
    </xf>
    <xf numFmtId="43"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0" fontId="18" fillId="0" borderId="0"/>
  </cellStyleXfs>
  <cellXfs count="278">
    <xf numFmtId="0" fontId="0" fillId="0" borderId="0" xfId="0"/>
    <xf numFmtId="0" fontId="1" fillId="2" borderId="0" xfId="0" applyFont="1" applyFill="1"/>
    <xf numFmtId="0" fontId="2" fillId="0" borderId="0" xfId="0" applyFont="1"/>
    <xf numFmtId="0" fontId="3" fillId="0" borderId="1" xfId="0" applyFont="1" applyBorder="1"/>
    <xf numFmtId="10" fontId="2" fillId="3" borderId="0" xfId="0" applyNumberFormat="1" applyFont="1" applyFill="1" applyProtection="1">
      <protection locked="0"/>
    </xf>
    <xf numFmtId="0" fontId="5" fillId="0" borderId="0" xfId="1" applyFont="1" applyAlignment="1" applyProtection="1"/>
    <xf numFmtId="10" fontId="2" fillId="0" borderId="0" xfId="0" applyNumberFormat="1" applyFont="1" applyFill="1" applyProtection="1"/>
    <xf numFmtId="0" fontId="6" fillId="0" borderId="0" xfId="0" applyFont="1" applyProtection="1"/>
    <xf numFmtId="10" fontId="2" fillId="5" borderId="0" xfId="0" applyNumberFormat="1" applyFont="1" applyFill="1" applyProtection="1">
      <protection locked="0"/>
    </xf>
    <xf numFmtId="9" fontId="2" fillId="5" borderId="0" xfId="0" applyNumberFormat="1" applyFont="1" applyFill="1" applyProtection="1">
      <protection locked="0"/>
    </xf>
    <xf numFmtId="0" fontId="1" fillId="0" borderId="0" xfId="0" applyFont="1" applyFill="1" applyProtection="1">
      <protection locked="0"/>
    </xf>
    <xf numFmtId="0" fontId="9" fillId="0" borderId="0" xfId="0" applyFont="1" applyFill="1"/>
    <xf numFmtId="0" fontId="2" fillId="0" borderId="0" xfId="0" applyFont="1" applyFill="1"/>
    <xf numFmtId="0" fontId="2" fillId="0" borderId="0" xfId="0" applyNumberFormat="1" applyFont="1" applyAlignment="1">
      <alignment wrapText="1"/>
    </xf>
    <xf numFmtId="0" fontId="9" fillId="0" borderId="0" xfId="0" applyFont="1" applyAlignment="1">
      <alignment wrapText="1"/>
    </xf>
    <xf numFmtId="0" fontId="21" fillId="0" borderId="0" xfId="0" applyFont="1"/>
    <xf numFmtId="3" fontId="21" fillId="0" borderId="0" xfId="0" applyNumberFormat="1" applyFont="1"/>
    <xf numFmtId="0" fontId="21" fillId="0" borderId="0" xfId="0" applyFont="1" applyProtection="1"/>
    <xf numFmtId="3" fontId="21" fillId="0" borderId="0" xfId="0" applyNumberFormat="1" applyFont="1" applyProtection="1"/>
    <xf numFmtId="0" fontId="11" fillId="0" borderId="0" xfId="0" applyFont="1" applyProtection="1"/>
    <xf numFmtId="165" fontId="21" fillId="0" borderId="0" xfId="0" applyNumberFormat="1" applyFont="1"/>
    <xf numFmtId="166" fontId="21" fillId="0" borderId="0" xfId="0" applyNumberFormat="1" applyFont="1"/>
    <xf numFmtId="3" fontId="21" fillId="0" borderId="0" xfId="0" applyNumberFormat="1" applyFont="1" applyAlignment="1">
      <alignment shrinkToFit="1"/>
    </xf>
    <xf numFmtId="0" fontId="12" fillId="0" borderId="0" xfId="0" applyFont="1"/>
    <xf numFmtId="0" fontId="22" fillId="0" borderId="0" xfId="0" applyFont="1"/>
    <xf numFmtId="0" fontId="13" fillId="2" borderId="0" xfId="0" applyFont="1" applyFill="1"/>
    <xf numFmtId="0" fontId="0" fillId="0" borderId="0" xfId="0" applyFont="1"/>
    <xf numFmtId="3" fontId="11" fillId="6" borderId="0" xfId="0" applyNumberFormat="1" applyFont="1" applyFill="1" applyProtection="1"/>
    <xf numFmtId="0" fontId="23" fillId="7" borderId="0" xfId="0" applyFont="1" applyFill="1"/>
    <xf numFmtId="0" fontId="21" fillId="7" borderId="0" xfId="0" applyFont="1" applyFill="1"/>
    <xf numFmtId="0" fontId="9" fillId="0" borderId="0" xfId="0" applyNumberFormat="1" applyFont="1" applyAlignment="1">
      <alignment wrapText="1"/>
    </xf>
    <xf numFmtId="0" fontId="2" fillId="0" borderId="0" xfId="0" applyNumberFormat="1" applyFont="1" applyAlignment="1">
      <alignment horizontal="left" wrapText="1"/>
    </xf>
    <xf numFmtId="3" fontId="21" fillId="0" borderId="0" xfId="0" applyNumberFormat="1" applyFont="1" applyBorder="1" applyProtection="1"/>
    <xf numFmtId="0" fontId="24" fillId="7" borderId="0" xfId="0" applyFont="1" applyFill="1"/>
    <xf numFmtId="0" fontId="24" fillId="0" borderId="0" xfId="0" applyFont="1"/>
    <xf numFmtId="3" fontId="22" fillId="0" borderId="0" xfId="0" applyNumberFormat="1" applyFont="1"/>
    <xf numFmtId="0" fontId="25" fillId="0" borderId="0" xfId="0" applyFont="1"/>
    <xf numFmtId="0" fontId="1" fillId="8" borderId="0" xfId="0" applyFont="1" applyFill="1"/>
    <xf numFmtId="0" fontId="26" fillId="0" borderId="0" xfId="0" applyFont="1"/>
    <xf numFmtId="0" fontId="26" fillId="5" borderId="0" xfId="0" applyFont="1" applyFill="1" applyProtection="1">
      <protection locked="0"/>
    </xf>
    <xf numFmtId="3" fontId="26" fillId="0" borderId="0" xfId="0" applyNumberFormat="1" applyFont="1"/>
    <xf numFmtId="3" fontId="26" fillId="0" borderId="2" xfId="0" applyNumberFormat="1" applyFont="1" applyBorder="1"/>
    <xf numFmtId="9" fontId="26" fillId="5" borderId="0" xfId="0" applyNumberFormat="1" applyFont="1" applyFill="1" applyProtection="1">
      <protection locked="0"/>
    </xf>
    <xf numFmtId="0" fontId="27" fillId="0" borderId="0" xfId="0" applyFont="1" applyAlignment="1">
      <alignment horizontal="right"/>
    </xf>
    <xf numFmtId="0" fontId="27" fillId="0" borderId="0" xfId="0" applyFont="1" applyAlignment="1">
      <alignment horizontal="right" wrapText="1"/>
    </xf>
    <xf numFmtId="3" fontId="26" fillId="5" borderId="0" xfId="0" applyNumberFormat="1" applyFont="1" applyFill="1" applyProtection="1">
      <protection locked="0"/>
    </xf>
    <xf numFmtId="3" fontId="26" fillId="0" borderId="0" xfId="0" applyNumberFormat="1" applyFont="1" applyBorder="1"/>
    <xf numFmtId="0" fontId="27" fillId="0" borderId="0" xfId="0" applyFont="1"/>
    <xf numFmtId="10" fontId="26" fillId="0" borderId="0" xfId="0" applyNumberFormat="1" applyFont="1"/>
    <xf numFmtId="0" fontId="14" fillId="4" borderId="0" xfId="0" applyFont="1" applyFill="1"/>
    <xf numFmtId="0" fontId="15" fillId="4" borderId="0" xfId="0" applyFont="1" applyFill="1"/>
    <xf numFmtId="0" fontId="2" fillId="0" borderId="0" xfId="0" applyFont="1" applyAlignment="1"/>
    <xf numFmtId="0" fontId="26" fillId="0" borderId="0" xfId="0" applyFont="1" applyAlignment="1"/>
    <xf numFmtId="3" fontId="26" fillId="3" borderId="0" xfId="0" applyNumberFormat="1" applyFont="1" applyFill="1" applyAlignment="1" applyProtection="1">
      <alignment shrinkToFit="1"/>
      <protection locked="0"/>
    </xf>
    <xf numFmtId="3" fontId="26" fillId="4" borderId="0" xfId="0" applyNumberFormat="1" applyFont="1" applyFill="1" applyBorder="1" applyAlignment="1" applyProtection="1">
      <alignment shrinkToFit="1"/>
    </xf>
    <xf numFmtId="3" fontId="26" fillId="0" borderId="0" xfId="0" applyNumberFormat="1" applyFont="1" applyAlignment="1">
      <alignment shrinkToFit="1"/>
    </xf>
    <xf numFmtId="3" fontId="26" fillId="4" borderId="0" xfId="0" applyNumberFormat="1" applyFont="1" applyFill="1" applyAlignment="1" applyProtection="1">
      <alignment shrinkToFit="1"/>
    </xf>
    <xf numFmtId="10" fontId="26" fillId="3" borderId="0" xfId="0" applyNumberFormat="1" applyFont="1" applyFill="1" applyAlignment="1" applyProtection="1">
      <alignment shrinkToFit="1"/>
      <protection locked="0"/>
    </xf>
    <xf numFmtId="10" fontId="26" fillId="3" borderId="0" xfId="0" applyNumberFormat="1" applyFont="1" applyFill="1" applyAlignment="1" applyProtection="1">
      <protection locked="0"/>
    </xf>
    <xf numFmtId="0" fontId="26" fillId="0" borderId="0" xfId="0" applyFont="1" applyAlignment="1">
      <alignment shrinkToFit="1"/>
    </xf>
    <xf numFmtId="0" fontId="26" fillId="3" borderId="0" xfId="0" applyFont="1" applyFill="1" applyAlignment="1" applyProtection="1">
      <protection locked="0"/>
    </xf>
    <xf numFmtId="0" fontId="3" fillId="0" borderId="0" xfId="0" applyFont="1"/>
    <xf numFmtId="0" fontId="3" fillId="4" borderId="1" xfId="0" applyFont="1" applyFill="1" applyBorder="1" applyAlignment="1" applyProtection="1">
      <alignment shrinkToFit="1"/>
    </xf>
    <xf numFmtId="0" fontId="3" fillId="0" borderId="1" xfId="0" applyFont="1" applyBorder="1" applyAlignment="1">
      <alignment shrinkToFit="1"/>
    </xf>
    <xf numFmtId="3" fontId="26" fillId="3" borderId="0" xfId="0" applyNumberFormat="1" applyFont="1" applyFill="1" applyBorder="1" applyAlignment="1" applyProtection="1">
      <alignment shrinkToFit="1"/>
      <protection locked="0"/>
    </xf>
    <xf numFmtId="3" fontId="26" fillId="0" borderId="0" xfId="0" applyNumberFormat="1" applyFont="1" applyBorder="1" applyAlignment="1">
      <alignment shrinkToFit="1"/>
    </xf>
    <xf numFmtId="0" fontId="2" fillId="4" borderId="0" xfId="0" applyFont="1" applyFill="1" applyProtection="1"/>
    <xf numFmtId="0" fontId="2" fillId="0" borderId="0" xfId="0" applyFont="1" applyAlignment="1">
      <alignment wrapText="1"/>
    </xf>
    <xf numFmtId="3" fontId="26" fillId="4" borderId="2" xfId="0" applyNumberFormat="1" applyFont="1" applyFill="1" applyBorder="1" applyAlignment="1" applyProtection="1">
      <alignment shrinkToFit="1"/>
    </xf>
    <xf numFmtId="3" fontId="26" fillId="3" borderId="2" xfId="0" applyNumberFormat="1" applyFont="1" applyFill="1" applyBorder="1" applyAlignment="1" applyProtection="1">
      <alignment shrinkToFit="1"/>
      <protection locked="0"/>
    </xf>
    <xf numFmtId="3" fontId="26" fillId="5" borderId="0" xfId="0" applyNumberFormat="1" applyFont="1" applyFill="1" applyAlignment="1" applyProtection="1">
      <alignment shrinkToFit="1"/>
      <protection locked="0"/>
    </xf>
    <xf numFmtId="0" fontId="9" fillId="0" borderId="0" xfId="0" applyFont="1"/>
    <xf numFmtId="3" fontId="9" fillId="0" borderId="0" xfId="0" applyNumberFormat="1" applyFont="1" applyAlignment="1">
      <alignment shrinkToFit="1"/>
    </xf>
    <xf numFmtId="0" fontId="10" fillId="0" borderId="0" xfId="0" applyFont="1" applyAlignment="1">
      <alignment horizontal="right" shrinkToFit="1"/>
    </xf>
    <xf numFmtId="165" fontId="2" fillId="0" borderId="0" xfId="2" applyNumberFormat="1" applyFont="1" applyAlignment="1">
      <alignment horizontal="right" shrinkToFit="1"/>
    </xf>
    <xf numFmtId="165" fontId="2" fillId="0" borderId="0" xfId="0" applyNumberFormat="1" applyFont="1" applyAlignment="1">
      <alignment horizontal="right" shrinkToFit="1"/>
    </xf>
    <xf numFmtId="2" fontId="26" fillId="0" borderId="0" xfId="0" applyNumberFormat="1" applyFont="1" applyAlignment="1">
      <alignment shrinkToFit="1"/>
    </xf>
    <xf numFmtId="0" fontId="2" fillId="0" borderId="0" xfId="0" applyFont="1" applyAlignment="1" applyProtection="1"/>
    <xf numFmtId="0" fontId="26" fillId="0" borderId="0" xfId="0" applyFont="1" applyProtection="1"/>
    <xf numFmtId="10" fontId="26" fillId="4" borderId="0" xfId="0" applyNumberFormat="1" applyFont="1" applyFill="1" applyAlignment="1" applyProtection="1"/>
    <xf numFmtId="0" fontId="3" fillId="0" borderId="0" xfId="0" applyFont="1" applyProtection="1"/>
    <xf numFmtId="0" fontId="3" fillId="0" borderId="1" xfId="0" applyFont="1" applyBorder="1" applyProtection="1"/>
    <xf numFmtId="0" fontId="3" fillId="4" borderId="1" xfId="0" applyFont="1" applyFill="1" applyBorder="1" applyProtection="1"/>
    <xf numFmtId="0" fontId="3" fillId="0" borderId="1" xfId="0" applyFont="1" applyBorder="1" applyAlignment="1" applyProtection="1">
      <alignment horizontal="right"/>
    </xf>
    <xf numFmtId="0" fontId="26" fillId="4" borderId="0" xfId="0" applyFont="1" applyFill="1" applyProtection="1"/>
    <xf numFmtId="3" fontId="26" fillId="0" borderId="0" xfId="0" applyNumberFormat="1" applyFont="1" applyAlignment="1" applyProtection="1">
      <alignment shrinkToFit="1"/>
    </xf>
    <xf numFmtId="0" fontId="2" fillId="0" borderId="0" xfId="0" applyFont="1" applyProtection="1"/>
    <xf numFmtId="10" fontId="26" fillId="0" borderId="0" xfId="0" applyNumberFormat="1" applyFont="1" applyAlignment="1" applyProtection="1">
      <alignment shrinkToFit="1"/>
    </xf>
    <xf numFmtId="3" fontId="26" fillId="0" borderId="0" xfId="0" applyNumberFormat="1" applyFont="1" applyProtection="1"/>
    <xf numFmtId="10" fontId="26" fillId="0" borderId="0" xfId="0" applyNumberFormat="1" applyFont="1" applyProtection="1"/>
    <xf numFmtId="165" fontId="26" fillId="0" borderId="0" xfId="2" applyNumberFormat="1" applyFont="1" applyProtection="1"/>
    <xf numFmtId="3" fontId="2" fillId="0" borderId="0" xfId="0" applyNumberFormat="1" applyFont="1" applyBorder="1" applyProtection="1"/>
    <xf numFmtId="0" fontId="14" fillId="4" borderId="0" xfId="0" applyFont="1" applyFill="1" applyAlignment="1" applyProtection="1"/>
    <xf numFmtId="0" fontId="15" fillId="4" borderId="0" xfId="0" applyFont="1" applyFill="1" applyAlignment="1" applyProtection="1"/>
    <xf numFmtId="0" fontId="15" fillId="4" borderId="0" xfId="0" applyFont="1" applyFill="1" applyProtection="1"/>
    <xf numFmtId="0" fontId="26" fillId="4" borderId="0" xfId="0" applyFont="1" applyFill="1"/>
    <xf numFmtId="0" fontId="2" fillId="4" borderId="0" xfId="0" applyFont="1" applyFill="1" applyAlignment="1" applyProtection="1"/>
    <xf numFmtId="0" fontId="26" fillId="4" borderId="0" xfId="0" applyFont="1" applyFill="1" applyAlignment="1" applyProtection="1"/>
    <xf numFmtId="3" fontId="26" fillId="6" borderId="0" xfId="0" applyNumberFormat="1" applyFont="1" applyFill="1" applyBorder="1" applyAlignment="1" applyProtection="1"/>
    <xf numFmtId="9" fontId="26" fillId="4" borderId="0" xfId="0" applyNumberFormat="1" applyFont="1" applyFill="1" applyAlignment="1" applyProtection="1"/>
    <xf numFmtId="3" fontId="26" fillId="4" borderId="0" xfId="0" applyNumberFormat="1" applyFont="1" applyFill="1" applyAlignment="1" applyProtection="1"/>
    <xf numFmtId="0" fontId="3" fillId="4" borderId="0" xfId="0" applyFont="1" applyFill="1" applyProtection="1"/>
    <xf numFmtId="0" fontId="3" fillId="4" borderId="1" xfId="0" applyFont="1" applyFill="1" applyBorder="1" applyAlignment="1" applyProtection="1">
      <alignment horizontal="right"/>
    </xf>
    <xf numFmtId="3" fontId="26" fillId="4" borderId="0" xfId="0" applyNumberFormat="1" applyFont="1" applyFill="1" applyProtection="1"/>
    <xf numFmtId="3" fontId="26" fillId="4" borderId="0" xfId="0" applyNumberFormat="1" applyFont="1" applyFill="1"/>
    <xf numFmtId="0" fontId="26" fillId="4" borderId="0" xfId="0" applyFont="1" applyFill="1" applyAlignment="1" applyProtection="1">
      <alignment shrinkToFit="1"/>
    </xf>
    <xf numFmtId="3" fontId="2" fillId="4" borderId="0" xfId="0" applyNumberFormat="1" applyFont="1" applyFill="1" applyAlignment="1" applyProtection="1">
      <alignment shrinkToFit="1"/>
    </xf>
    <xf numFmtId="0" fontId="2" fillId="0" borderId="3" xfId="0" applyFont="1" applyBorder="1" applyProtection="1"/>
    <xf numFmtId="10" fontId="2" fillId="4" borderId="0" xfId="3" applyNumberFormat="1" applyFont="1" applyFill="1" applyProtection="1"/>
    <xf numFmtId="3" fontId="2" fillId="4" borderId="0" xfId="0" applyNumberFormat="1" applyFont="1" applyFill="1" applyProtection="1"/>
    <xf numFmtId="165" fontId="2" fillId="4" borderId="0" xfId="2" applyNumberFormat="1" applyFont="1" applyFill="1" applyProtection="1"/>
    <xf numFmtId="0" fontId="3" fillId="4" borderId="0" xfId="0" applyFont="1" applyFill="1" applyBorder="1" applyProtection="1"/>
    <xf numFmtId="165" fontId="3" fillId="4" borderId="1" xfId="2" applyNumberFormat="1" applyFont="1" applyFill="1" applyBorder="1" applyProtection="1"/>
    <xf numFmtId="0" fontId="26" fillId="4" borderId="1" xfId="0" applyFont="1" applyFill="1" applyBorder="1" applyProtection="1"/>
    <xf numFmtId="165" fontId="26" fillId="4" borderId="0" xfId="2" applyNumberFormat="1" applyFont="1" applyFill="1" applyProtection="1"/>
    <xf numFmtId="3" fontId="26" fillId="4" borderId="2" xfId="0" applyNumberFormat="1" applyFont="1" applyFill="1" applyBorder="1" applyProtection="1"/>
    <xf numFmtId="8" fontId="26" fillId="4" borderId="0" xfId="0" applyNumberFormat="1" applyFont="1" applyFill="1"/>
    <xf numFmtId="0" fontId="3" fillId="0" borderId="1" xfId="0" applyFont="1" applyBorder="1" applyAlignment="1" applyProtection="1"/>
    <xf numFmtId="0" fontId="3" fillId="0" borderId="0" xfId="0" applyFont="1" applyBorder="1" applyAlignment="1" applyProtection="1"/>
    <xf numFmtId="0" fontId="2" fillId="0" borderId="0" xfId="0" applyFont="1" applyBorder="1" applyAlignment="1" applyProtection="1">
      <alignment horizontal="right"/>
    </xf>
    <xf numFmtId="3" fontId="3" fillId="6" borderId="0" xfId="0" applyNumberFormat="1" applyFont="1" applyFill="1" applyBorder="1" applyAlignment="1" applyProtection="1"/>
    <xf numFmtId="3" fontId="26" fillId="3" borderId="0" xfId="0" applyNumberFormat="1" applyFont="1" applyFill="1" applyBorder="1" applyAlignment="1" applyProtection="1">
      <protection locked="0"/>
    </xf>
    <xf numFmtId="0" fontId="2" fillId="0" borderId="0" xfId="0" applyFont="1" applyAlignment="1" applyProtection="1">
      <alignment wrapText="1"/>
    </xf>
    <xf numFmtId="0" fontId="3" fillId="0" borderId="0" xfId="0" applyFont="1" applyFill="1" applyBorder="1" applyAlignment="1" applyProtection="1"/>
    <xf numFmtId="0" fontId="26" fillId="0" borderId="0" xfId="0" applyFont="1" applyFill="1" applyBorder="1" applyAlignment="1" applyProtection="1"/>
    <xf numFmtId="3" fontId="26" fillId="3" borderId="0" xfId="0" applyNumberFormat="1" applyFont="1" applyFill="1" applyBorder="1" applyProtection="1">
      <protection locked="0"/>
    </xf>
    <xf numFmtId="9" fontId="26" fillId="5" borderId="0" xfId="0" applyNumberFormat="1" applyFont="1" applyFill="1" applyBorder="1" applyAlignment="1" applyProtection="1">
      <protection locked="0"/>
    </xf>
    <xf numFmtId="3" fontId="26" fillId="6" borderId="0" xfId="0" applyNumberFormat="1" applyFont="1" applyFill="1" applyBorder="1" applyProtection="1"/>
    <xf numFmtId="0" fontId="26" fillId="0" borderId="0" xfId="0" applyFont="1" applyBorder="1" applyProtection="1"/>
    <xf numFmtId="10" fontId="26" fillId="5" borderId="0" xfId="0" applyNumberFormat="1" applyFont="1" applyFill="1" applyBorder="1" applyAlignment="1" applyProtection="1">
      <alignment shrinkToFit="1"/>
      <protection locked="0"/>
    </xf>
    <xf numFmtId="0" fontId="2" fillId="0" borderId="0" xfId="0" applyFont="1" applyFill="1" applyBorder="1" applyAlignment="1" applyProtection="1"/>
    <xf numFmtId="164" fontId="26" fillId="3" borderId="0" xfId="3" applyNumberFormat="1" applyFont="1" applyFill="1" applyBorder="1" applyProtection="1">
      <protection locked="0"/>
    </xf>
    <xf numFmtId="164" fontId="26" fillId="0" borderId="0" xfId="3" applyNumberFormat="1" applyFont="1" applyFill="1" applyBorder="1" applyAlignment="1" applyProtection="1"/>
    <xf numFmtId="1" fontId="26" fillId="0" borderId="0" xfId="0" applyNumberFormat="1" applyFont="1" applyFill="1" applyBorder="1" applyAlignment="1" applyProtection="1"/>
    <xf numFmtId="3" fontId="26" fillId="0" borderId="0" xfId="0" applyNumberFormat="1" applyFont="1" applyFill="1" applyBorder="1" applyAlignment="1" applyProtection="1">
      <alignment shrinkToFit="1"/>
    </xf>
    <xf numFmtId="0" fontId="26" fillId="0" borderId="0" xfId="0" applyFont="1" applyAlignment="1" applyProtection="1">
      <alignment wrapText="1"/>
    </xf>
    <xf numFmtId="0" fontId="26" fillId="0" borderId="0" xfId="0" applyFont="1" applyAlignment="1" applyProtection="1"/>
    <xf numFmtId="0" fontId="26" fillId="0" borderId="0" xfId="0" applyFont="1" applyAlignment="1"/>
    <xf numFmtId="0" fontId="0" fillId="0" borderId="0" xfId="0" applyProtection="1"/>
    <xf numFmtId="0" fontId="16" fillId="0" borderId="0" xfId="0" applyFont="1" applyProtection="1"/>
    <xf numFmtId="10" fontId="2" fillId="0" borderId="0" xfId="3" applyNumberFormat="1" applyFont="1" applyAlignment="1" applyProtection="1">
      <alignment horizontal="left"/>
    </xf>
    <xf numFmtId="10" fontId="2" fillId="0" borderId="0" xfId="0" applyNumberFormat="1" applyFont="1" applyProtection="1"/>
    <xf numFmtId="0" fontId="28" fillId="0" borderId="0" xfId="0" applyNumberFormat="1" applyFont="1" applyProtection="1"/>
    <xf numFmtId="0" fontId="3" fillId="0" borderId="0" xfId="0" applyFont="1" applyAlignment="1" applyProtection="1">
      <alignment horizontal="left"/>
    </xf>
    <xf numFmtId="9" fontId="2" fillId="0" borderId="0" xfId="0" applyNumberFormat="1" applyFont="1" applyAlignment="1" applyProtection="1">
      <alignment horizontal="left"/>
    </xf>
    <xf numFmtId="0" fontId="3" fillId="0" borderId="1" xfId="0" applyFont="1" applyFill="1" applyBorder="1" applyAlignment="1" applyProtection="1"/>
    <xf numFmtId="3" fontId="26" fillId="4" borderId="4" xfId="0" applyNumberFormat="1" applyFont="1" applyFill="1" applyBorder="1" applyAlignment="1" applyProtection="1">
      <alignment shrinkToFit="1"/>
    </xf>
    <xf numFmtId="0" fontId="2" fillId="4" borderId="0" xfId="0" applyFont="1" applyFill="1" applyAlignment="1" applyProtection="1">
      <alignment wrapText="1"/>
    </xf>
    <xf numFmtId="0" fontId="27" fillId="0" borderId="0" xfId="0" applyFont="1" applyAlignment="1" applyProtection="1"/>
    <xf numFmtId="0" fontId="3" fillId="0" borderId="0" xfId="0" applyFont="1" applyBorder="1" applyAlignment="1" applyProtection="1">
      <alignment horizontal="right"/>
    </xf>
    <xf numFmtId="164" fontId="27" fillId="3" borderId="0" xfId="3" applyNumberFormat="1" applyFont="1" applyFill="1" applyBorder="1" applyProtection="1">
      <protection locked="0"/>
    </xf>
    <xf numFmtId="164" fontId="27" fillId="0" borderId="0" xfId="3" applyNumberFormat="1" applyFont="1" applyFill="1" applyBorder="1" applyAlignment="1" applyProtection="1"/>
    <xf numFmtId="0" fontId="29" fillId="0" borderId="0" xfId="0" applyFont="1" applyAlignment="1" applyProtection="1"/>
    <xf numFmtId="0" fontId="1" fillId="8" borderId="0" xfId="0" applyFont="1" applyFill="1" applyAlignment="1" applyProtection="1"/>
    <xf numFmtId="0" fontId="25" fillId="8" borderId="0" xfId="0" applyFont="1" applyFill="1" applyAlignment="1" applyProtection="1"/>
    <xf numFmtId="0" fontId="25" fillId="0" borderId="0" xfId="0" applyFont="1" applyProtection="1"/>
    <xf numFmtId="3" fontId="26" fillId="0" borderId="0" xfId="0" applyNumberFormat="1" applyFont="1" applyFill="1" applyBorder="1" applyProtection="1"/>
    <xf numFmtId="164" fontId="26" fillId="0" borderId="0" xfId="3" applyNumberFormat="1" applyFont="1" applyFill="1" applyBorder="1" applyProtection="1"/>
    <xf numFmtId="164" fontId="27" fillId="0" borderId="0" xfId="3" applyNumberFormat="1" applyFont="1" applyProtection="1"/>
    <xf numFmtId="164" fontId="26" fillId="0" borderId="0" xfId="3" applyNumberFormat="1" applyFont="1" applyProtection="1"/>
    <xf numFmtId="164" fontId="26" fillId="0" borderId="0" xfId="0" applyNumberFormat="1" applyFont="1" applyProtection="1"/>
    <xf numFmtId="0" fontId="29" fillId="0" borderId="0" xfId="0" applyFont="1" applyProtection="1"/>
    <xf numFmtId="10" fontId="26" fillId="0" borderId="0" xfId="0" applyNumberFormat="1" applyFont="1" applyFill="1" applyBorder="1" applyAlignment="1" applyProtection="1"/>
    <xf numFmtId="0" fontId="27" fillId="0" borderId="0" xfId="0" applyFont="1" applyFill="1" applyAlignment="1" applyProtection="1"/>
    <xf numFmtId="0" fontId="3" fillId="5" borderId="0" xfId="0" applyFont="1" applyFill="1" applyBorder="1" applyAlignment="1" applyProtection="1">
      <protection locked="0"/>
    </xf>
    <xf numFmtId="3" fontId="27" fillId="5" borderId="0" xfId="0" applyNumberFormat="1" applyFont="1" applyFill="1" applyProtection="1">
      <protection locked="0"/>
    </xf>
    <xf numFmtId="0" fontId="26" fillId="5" borderId="0" xfId="0" applyFont="1" applyFill="1" applyAlignment="1" applyProtection="1">
      <protection locked="0"/>
    </xf>
    <xf numFmtId="3" fontId="26" fillId="0" borderId="2" xfId="0" applyNumberFormat="1" applyFont="1" applyBorder="1" applyProtection="1"/>
    <xf numFmtId="0" fontId="27" fillId="0" borderId="0" xfId="0" applyFont="1" applyFill="1" applyBorder="1" applyAlignment="1" applyProtection="1"/>
    <xf numFmtId="0" fontId="9" fillId="0" borderId="0" xfId="0" applyFont="1" applyFill="1" applyBorder="1" applyAlignment="1" applyProtection="1"/>
    <xf numFmtId="164" fontId="29" fillId="0" borderId="0" xfId="3" applyNumberFormat="1" applyFont="1" applyProtection="1"/>
    <xf numFmtId="164" fontId="29" fillId="0" borderId="0" xfId="3" applyNumberFormat="1" applyFont="1" applyFill="1" applyBorder="1" applyAlignment="1" applyProtection="1"/>
    <xf numFmtId="0" fontId="2" fillId="5" borderId="0" xfId="0" applyFont="1" applyFill="1" applyAlignment="1" applyProtection="1">
      <protection locked="0"/>
    </xf>
    <xf numFmtId="0" fontId="3" fillId="9" borderId="0" xfId="0" applyFont="1" applyFill="1" applyAlignment="1" applyProtection="1"/>
    <xf numFmtId="0" fontId="3" fillId="9" borderId="0" xfId="0" applyFont="1" applyFill="1" applyBorder="1" applyAlignment="1" applyProtection="1"/>
    <xf numFmtId="0" fontId="27" fillId="9" borderId="0" xfId="0" applyFont="1" applyFill="1" applyBorder="1" applyAlignment="1" applyProtection="1"/>
    <xf numFmtId="0" fontId="27" fillId="0" borderId="0" xfId="0" applyFont="1" applyProtection="1"/>
    <xf numFmtId="3" fontId="26" fillId="5" borderId="0" xfId="0" applyNumberFormat="1" applyFont="1" applyFill="1" applyBorder="1" applyAlignment="1" applyProtection="1">
      <protection locked="0"/>
    </xf>
    <xf numFmtId="0" fontId="29" fillId="0" borderId="0" xfId="0" applyFont="1" applyFill="1" applyBorder="1" applyAlignment="1" applyProtection="1"/>
    <xf numFmtId="10" fontId="26" fillId="0" borderId="0" xfId="3" applyNumberFormat="1" applyFont="1"/>
    <xf numFmtId="0" fontId="2" fillId="0" borderId="0" xfId="0" applyFont="1" applyFill="1" applyAlignment="1">
      <alignment wrapText="1"/>
    </xf>
    <xf numFmtId="0" fontId="28" fillId="0" borderId="0" xfId="0" applyFont="1" applyAlignment="1" applyProtection="1">
      <alignment horizontal="right"/>
    </xf>
    <xf numFmtId="0" fontId="2" fillId="0" borderId="0" xfId="0" applyFont="1" applyFill="1" applyAlignment="1">
      <alignment horizontal="left" wrapText="1"/>
    </xf>
    <xf numFmtId="10" fontId="26" fillId="0" borderId="0" xfId="0" applyNumberFormat="1" applyFont="1" applyFill="1" applyBorder="1" applyAlignment="1" applyProtection="1">
      <alignment shrinkToFit="1"/>
    </xf>
    <xf numFmtId="3" fontId="29" fillId="0" borderId="0" xfId="0" applyNumberFormat="1" applyFont="1" applyProtection="1"/>
    <xf numFmtId="0" fontId="27" fillId="9" borderId="0" xfId="0" applyFont="1" applyFill="1" applyProtection="1"/>
    <xf numFmtId="0" fontId="26" fillId="9" borderId="0" xfId="0" applyFont="1" applyFill="1" applyProtection="1"/>
    <xf numFmtId="0" fontId="2" fillId="5" borderId="0" xfId="0" applyFont="1" applyFill="1" applyBorder="1" applyAlignment="1" applyProtection="1">
      <alignment horizontal="right"/>
      <protection locked="0"/>
    </xf>
    <xf numFmtId="10" fontId="27" fillId="5" borderId="0" xfId="3" applyNumberFormat="1" applyFont="1" applyFill="1" applyBorder="1" applyAlignment="1" applyProtection="1">
      <alignment shrinkToFit="1"/>
      <protection locked="0"/>
    </xf>
    <xf numFmtId="0" fontId="1" fillId="2" borderId="0" xfId="0" applyFont="1" applyFill="1" applyProtection="1"/>
    <xf numFmtId="0" fontId="0" fillId="2" borderId="0" xfId="0" applyFill="1" applyProtection="1"/>
    <xf numFmtId="0" fontId="2" fillId="0" borderId="0" xfId="0" applyFont="1" applyBorder="1" applyAlignment="1" applyProtection="1"/>
    <xf numFmtId="0" fontId="9" fillId="0" borderId="0" xfId="0" applyFont="1" applyFill="1" applyAlignment="1">
      <alignment wrapText="1"/>
    </xf>
    <xf numFmtId="0" fontId="4" fillId="0" borderId="0" xfId="1" applyFill="1" applyAlignment="1" applyProtection="1">
      <alignment wrapText="1"/>
    </xf>
    <xf numFmtId="0" fontId="9" fillId="0" borderId="0" xfId="0" applyFont="1" applyFill="1" applyAlignment="1" applyProtection="1">
      <alignment wrapText="1"/>
      <protection locked="0"/>
    </xf>
    <xf numFmtId="9" fontId="26" fillId="0" borderId="0" xfId="3" applyFont="1"/>
    <xf numFmtId="10" fontId="26" fillId="5" borderId="0" xfId="3" applyNumberFormat="1" applyFont="1" applyFill="1" applyProtection="1">
      <protection locked="0"/>
    </xf>
    <xf numFmtId="10" fontId="26" fillId="0" borderId="0" xfId="0" applyNumberFormat="1" applyFont="1" applyFill="1"/>
    <xf numFmtId="0" fontId="26" fillId="0" borderId="0" xfId="0" applyFont="1" applyFill="1" applyAlignment="1" applyProtection="1">
      <protection locked="0"/>
    </xf>
    <xf numFmtId="165" fontId="26" fillId="0" borderId="0" xfId="2" applyNumberFormat="1" applyFont="1" applyFill="1" applyBorder="1" applyAlignment="1" applyProtection="1"/>
    <xf numFmtId="165" fontId="26" fillId="3" borderId="0" xfId="2" applyNumberFormat="1" applyFont="1" applyFill="1" applyBorder="1" applyProtection="1">
      <protection locked="0"/>
    </xf>
    <xf numFmtId="165" fontId="3" fillId="9" borderId="0" xfId="2" applyNumberFormat="1" applyFont="1" applyFill="1" applyBorder="1" applyAlignment="1" applyProtection="1"/>
    <xf numFmtId="165" fontId="27" fillId="5" borderId="0" xfId="2" applyNumberFormat="1" applyFont="1" applyFill="1" applyBorder="1" applyAlignment="1" applyProtection="1">
      <alignment shrinkToFit="1"/>
      <protection locked="0"/>
    </xf>
    <xf numFmtId="165" fontId="26" fillId="5" borderId="0" xfId="2" applyNumberFormat="1" applyFont="1" applyFill="1" applyBorder="1" applyAlignment="1" applyProtection="1">
      <alignment shrinkToFit="1"/>
      <protection locked="0"/>
    </xf>
    <xf numFmtId="165" fontId="2" fillId="0" borderId="0" xfId="2" applyNumberFormat="1" applyFont="1" applyBorder="1" applyAlignment="1" applyProtection="1"/>
    <xf numFmtId="165" fontId="3" fillId="0" borderId="0" xfId="2" applyNumberFormat="1" applyFont="1" applyBorder="1" applyAlignment="1" applyProtection="1"/>
    <xf numFmtId="165" fontId="3" fillId="9" borderId="0" xfId="2" applyNumberFormat="1" applyFont="1" applyFill="1" applyAlignment="1" applyProtection="1"/>
    <xf numFmtId="165" fontId="27" fillId="9" borderId="0" xfId="2" applyNumberFormat="1" applyFont="1" applyFill="1" applyBorder="1" applyAlignment="1" applyProtection="1"/>
    <xf numFmtId="165" fontId="27" fillId="9" borderId="0" xfId="2" applyNumberFormat="1" applyFont="1" applyFill="1" applyBorder="1" applyAlignment="1" applyProtection="1">
      <alignment shrinkToFit="1"/>
    </xf>
    <xf numFmtId="165" fontId="26" fillId="0" borderId="0" xfId="2" applyNumberFormat="1" applyFont="1" applyFill="1" applyBorder="1" applyAlignment="1" applyProtection="1">
      <alignment shrinkToFit="1"/>
    </xf>
    <xf numFmtId="165" fontId="26" fillId="3" borderId="0" xfId="2" applyNumberFormat="1" applyFont="1" applyFill="1" applyBorder="1" applyAlignment="1" applyProtection="1">
      <alignment shrinkToFit="1"/>
      <protection locked="0"/>
    </xf>
    <xf numFmtId="165" fontId="26" fillId="6" borderId="0" xfId="2" applyNumberFormat="1" applyFont="1" applyFill="1" applyBorder="1" applyAlignment="1" applyProtection="1">
      <alignment shrinkToFit="1"/>
    </xf>
    <xf numFmtId="165" fontId="26" fillId="5" borderId="0" xfId="2" applyNumberFormat="1" applyFont="1" applyFill="1" applyProtection="1">
      <protection locked="0"/>
    </xf>
    <xf numFmtId="165" fontId="26" fillId="3" borderId="2" xfId="2" applyNumberFormat="1" applyFont="1" applyFill="1" applyBorder="1" applyProtection="1">
      <protection locked="0"/>
    </xf>
    <xf numFmtId="165" fontId="26" fillId="0" borderId="2" xfId="2" applyNumberFormat="1" applyFont="1" applyBorder="1" applyProtection="1"/>
    <xf numFmtId="165" fontId="29" fillId="0" borderId="0" xfId="2" applyNumberFormat="1" applyFont="1" applyFill="1" applyBorder="1" applyAlignment="1" applyProtection="1">
      <alignment shrinkToFit="1"/>
    </xf>
    <xf numFmtId="165" fontId="27" fillId="5" borderId="0" xfId="2" applyNumberFormat="1" applyFont="1" applyFill="1" applyProtection="1">
      <protection locked="0"/>
    </xf>
    <xf numFmtId="165" fontId="26" fillId="3" borderId="0" xfId="2" applyNumberFormat="1" applyFont="1" applyFill="1" applyBorder="1" applyAlignment="1" applyProtection="1">
      <protection locked="0"/>
    </xf>
    <xf numFmtId="165" fontId="27" fillId="3" borderId="0" xfId="2" applyNumberFormat="1" applyFont="1" applyFill="1" applyBorder="1" applyAlignment="1" applyProtection="1">
      <alignment shrinkToFit="1"/>
      <protection locked="0"/>
    </xf>
    <xf numFmtId="165" fontId="27" fillId="3" borderId="2" xfId="2" applyNumberFormat="1" applyFont="1" applyFill="1" applyBorder="1" applyAlignment="1" applyProtection="1">
      <alignment shrinkToFit="1"/>
      <protection locked="0"/>
    </xf>
    <xf numFmtId="165" fontId="26" fillId="3" borderId="2" xfId="2" applyNumberFormat="1" applyFont="1" applyFill="1" applyBorder="1" applyAlignment="1" applyProtection="1">
      <alignment shrinkToFit="1"/>
      <protection locked="0"/>
    </xf>
    <xf numFmtId="165" fontId="26" fillId="0" borderId="2" xfId="2" applyNumberFormat="1" applyFont="1" applyFill="1" applyBorder="1" applyAlignment="1" applyProtection="1">
      <alignment shrinkToFit="1"/>
    </xf>
    <xf numFmtId="165" fontId="30" fillId="0" borderId="0" xfId="2" applyNumberFormat="1" applyFont="1" applyFill="1" applyBorder="1" applyAlignment="1" applyProtection="1">
      <alignment horizontal="right"/>
    </xf>
    <xf numFmtId="165" fontId="26" fillId="0" borderId="0" xfId="2" applyNumberFormat="1" applyFont="1" applyFill="1" applyBorder="1" applyProtection="1"/>
    <xf numFmtId="165" fontId="27" fillId="9" borderId="0" xfId="2" applyNumberFormat="1" applyFont="1" applyFill="1" applyProtection="1"/>
    <xf numFmtId="165" fontId="2" fillId="5" borderId="0" xfId="2" applyNumberFormat="1" applyFont="1" applyFill="1" applyBorder="1" applyAlignment="1" applyProtection="1">
      <protection locked="0"/>
    </xf>
    <xf numFmtId="165" fontId="2" fillId="5" borderId="2" xfId="2" applyNumberFormat="1" applyFont="1" applyFill="1" applyBorder="1" applyAlignment="1" applyProtection="1">
      <protection locked="0"/>
    </xf>
    <xf numFmtId="165" fontId="26" fillId="5" borderId="2" xfId="2" applyNumberFormat="1" applyFont="1" applyFill="1" applyBorder="1" applyProtection="1">
      <protection locked="0"/>
    </xf>
    <xf numFmtId="165" fontId="26" fillId="5" borderId="2" xfId="2" applyNumberFormat="1" applyFont="1" applyFill="1" applyBorder="1" applyAlignment="1" applyProtection="1">
      <alignment shrinkToFit="1"/>
      <protection locked="0"/>
    </xf>
    <xf numFmtId="165" fontId="26" fillId="0" borderId="4" xfId="2" applyNumberFormat="1" applyFont="1" applyFill="1" applyBorder="1" applyAlignment="1" applyProtection="1">
      <alignment shrinkToFit="1"/>
    </xf>
    <xf numFmtId="165" fontId="26" fillId="5" borderId="2" xfId="0" applyNumberFormat="1" applyFont="1" applyFill="1" applyBorder="1" applyAlignment="1" applyProtection="1">
      <alignment shrinkToFit="1"/>
      <protection locked="0"/>
    </xf>
    <xf numFmtId="165" fontId="2" fillId="0" borderId="0" xfId="0" applyNumberFormat="1" applyFont="1" applyAlignment="1" applyProtection="1"/>
    <xf numFmtId="165" fontId="27" fillId="5" borderId="2" xfId="2" applyNumberFormat="1" applyFont="1" applyFill="1" applyBorder="1" applyAlignment="1" applyProtection="1">
      <alignment shrinkToFit="1"/>
      <protection locked="0"/>
    </xf>
    <xf numFmtId="0" fontId="31" fillId="7" borderId="0" xfId="0" applyFont="1" applyFill="1"/>
    <xf numFmtId="1" fontId="26" fillId="5" borderId="0" xfId="0" applyNumberFormat="1" applyFont="1" applyFill="1" applyProtection="1">
      <protection locked="0"/>
    </xf>
    <xf numFmtId="9" fontId="26" fillId="0" borderId="0" xfId="0" applyNumberFormat="1" applyFont="1"/>
    <xf numFmtId="0" fontId="32" fillId="0" borderId="0" xfId="0" applyFont="1"/>
    <xf numFmtId="10" fontId="26" fillId="5" borderId="0" xfId="0" applyNumberFormat="1" applyFont="1" applyFill="1" applyProtection="1">
      <protection locked="0"/>
    </xf>
    <xf numFmtId="3" fontId="29" fillId="0" borderId="0" xfId="0" applyNumberFormat="1" applyFont="1"/>
    <xf numFmtId="167" fontId="26" fillId="0" borderId="5" xfId="0" applyNumberFormat="1" applyFont="1" applyBorder="1"/>
    <xf numFmtId="167" fontId="26" fillId="0" borderId="6" xfId="0" applyNumberFormat="1" applyFont="1" applyBorder="1"/>
    <xf numFmtId="1" fontId="29" fillId="0" borderId="0" xfId="0" applyNumberFormat="1" applyFont="1" applyFill="1" applyBorder="1" applyProtection="1">
      <protection locked="0"/>
    </xf>
    <xf numFmtId="10" fontId="26" fillId="0" borderId="2" xfId="0" applyNumberFormat="1" applyFont="1" applyFill="1" applyBorder="1" applyProtection="1">
      <protection locked="0"/>
    </xf>
    <xf numFmtId="1" fontId="26" fillId="0" borderId="7" xfId="0" applyNumberFormat="1" applyFont="1" applyFill="1" applyBorder="1" applyProtection="1">
      <protection locked="0"/>
    </xf>
    <xf numFmtId="0" fontId="0" fillId="0" borderId="8" xfId="0" applyBorder="1"/>
    <xf numFmtId="0" fontId="0" fillId="0" borderId="3" xfId="0" applyBorder="1"/>
    <xf numFmtId="10" fontId="26" fillId="0" borderId="9" xfId="0" applyNumberFormat="1" applyFont="1" applyFill="1" applyBorder="1" applyProtection="1">
      <protection locked="0"/>
    </xf>
    <xf numFmtId="1" fontId="26" fillId="0" borderId="9" xfId="0" applyNumberFormat="1" applyFont="1" applyFill="1" applyBorder="1" applyProtection="1">
      <protection locked="0"/>
    </xf>
    <xf numFmtId="1" fontId="29" fillId="0" borderId="7" xfId="0" applyNumberFormat="1" applyFont="1" applyFill="1" applyBorder="1" applyProtection="1">
      <protection locked="0"/>
    </xf>
    <xf numFmtId="10" fontId="29" fillId="0" borderId="2" xfId="0" applyNumberFormat="1" applyFont="1" applyFill="1" applyBorder="1" applyProtection="1">
      <protection locked="0"/>
    </xf>
    <xf numFmtId="167" fontId="26" fillId="0" borderId="6" xfId="0" applyNumberFormat="1" applyFont="1" applyFill="1" applyBorder="1"/>
    <xf numFmtId="167" fontId="26" fillId="0" borderId="5" xfId="0" applyNumberFormat="1" applyFont="1" applyFill="1" applyBorder="1"/>
    <xf numFmtId="167" fontId="29" fillId="0" borderId="5" xfId="0" applyNumberFormat="1" applyFont="1" applyFill="1" applyBorder="1"/>
    <xf numFmtId="0" fontId="27" fillId="0" borderId="3" xfId="0" applyFont="1" applyBorder="1"/>
    <xf numFmtId="0" fontId="27" fillId="0" borderId="10" xfId="0" applyFont="1" applyBorder="1"/>
    <xf numFmtId="0" fontId="28" fillId="0" borderId="0" xfId="0" applyFont="1" applyAlignment="1" applyProtection="1"/>
    <xf numFmtId="0" fontId="3" fillId="0" borderId="8" xfId="0" applyFont="1" applyFill="1" applyBorder="1" applyAlignment="1" applyProtection="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wrapText="1"/>
    </xf>
    <xf numFmtId="0" fontId="0" fillId="0" borderId="0" xfId="0" applyBorder="1" applyAlignment="1">
      <alignment wrapText="1"/>
    </xf>
    <xf numFmtId="0" fontId="0" fillId="0" borderId="7" xfId="0" applyBorder="1" applyAlignment="1">
      <alignment wrapText="1"/>
    </xf>
    <xf numFmtId="0" fontId="0" fillId="0" borderId="10" xfId="0" applyBorder="1" applyAlignment="1">
      <alignment wrapText="1"/>
    </xf>
    <xf numFmtId="0" fontId="0" fillId="0" borderId="2" xfId="0" applyBorder="1" applyAlignment="1">
      <alignment wrapText="1"/>
    </xf>
    <xf numFmtId="0" fontId="0" fillId="0" borderId="9" xfId="0" applyBorder="1" applyAlignment="1">
      <alignment wrapText="1"/>
    </xf>
    <xf numFmtId="0" fontId="27" fillId="0" borderId="0" xfId="0" applyFont="1" applyAlignment="1"/>
    <xf numFmtId="0" fontId="26" fillId="0" borderId="0" xfId="0" applyFont="1" applyAlignment="1"/>
    <xf numFmtId="0" fontId="33" fillId="0" borderId="0" xfId="0" applyFont="1" applyAlignment="1"/>
    <xf numFmtId="0" fontId="27" fillId="0" borderId="4" xfId="0" applyFont="1" applyBorder="1" applyAlignment="1">
      <alignment horizontal="center"/>
    </xf>
    <xf numFmtId="0" fontId="27" fillId="0" borderId="11" xfId="0" applyFont="1" applyBorder="1" applyAlignment="1">
      <alignment horizontal="center"/>
    </xf>
    <xf numFmtId="0" fontId="29" fillId="0" borderId="0" xfId="0" applyFont="1" applyAlignment="1"/>
    <xf numFmtId="0" fontId="26" fillId="6" borderId="0" xfId="0" applyFont="1" applyFill="1" applyAlignment="1" applyProtection="1"/>
    <xf numFmtId="0" fontId="28" fillId="4" borderId="4" xfId="0" applyFont="1" applyFill="1" applyBorder="1" applyAlignment="1" applyProtection="1"/>
    <xf numFmtId="0" fontId="28" fillId="4" borderId="0" xfId="0" applyFont="1" applyFill="1" applyBorder="1" applyAlignment="1" applyProtection="1"/>
    <xf numFmtId="0" fontId="2" fillId="0" borderId="0" xfId="0" applyFont="1" applyAlignment="1" applyProtection="1"/>
  </cellXfs>
  <cellStyles count="6">
    <cellStyle name="Hyperlink" xfId="1" builtinId="8"/>
    <cellStyle name="Komma" xfId="2" builtinId="3"/>
    <cellStyle name="Procent" xfId="3" builtinId="5"/>
    <cellStyle name="Procent 2" xfId="4" xr:uid="{00000000-0005-0000-0000-000003000000}"/>
    <cellStyle name="Standaard" xfId="0" builtinId="0"/>
    <cellStyle name="Standaard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fas.nl/" TargetMode="External"/><Relationship Id="rId1" Type="http://schemas.openxmlformats.org/officeDocument/2006/relationships/hyperlink" Target="http://www.valuepro.nl/"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IU138"/>
  <sheetViews>
    <sheetView showGridLines="0" showRowColHeaders="0" workbookViewId="0">
      <selection activeCell="B9" sqref="B9"/>
    </sheetView>
  </sheetViews>
  <sheetFormatPr defaultColWidth="0" defaultRowHeight="15" zeroHeight="1" x14ac:dyDescent="0.25"/>
  <cols>
    <col min="1" max="1" width="2.7109375" customWidth="1"/>
    <col min="2" max="2" width="71.28515625" customWidth="1"/>
    <col min="3" max="3" width="2.7109375" customWidth="1"/>
    <col min="4" max="255" width="9.140625" hidden="1" customWidth="1"/>
    <col min="256" max="16384" width="6.7109375" hidden="1"/>
  </cols>
  <sheetData>
    <row r="1" spans="2:2" s="26" customFormat="1" x14ac:dyDescent="0.25">
      <c r="B1" s="37" t="s">
        <v>111</v>
      </c>
    </row>
    <row r="2" spans="2:2" x14ac:dyDescent="0.25">
      <c r="B2" s="10"/>
    </row>
    <row r="3" spans="2:2" ht="12" customHeight="1" x14ac:dyDescent="0.25">
      <c r="B3" s="194" t="s">
        <v>360</v>
      </c>
    </row>
    <row r="4" spans="2:2" ht="12" customHeight="1" x14ac:dyDescent="0.25">
      <c r="B4" s="192" t="s">
        <v>359</v>
      </c>
    </row>
    <row r="5" spans="2:2" ht="12" customHeight="1" x14ac:dyDescent="0.25">
      <c r="B5" s="193" t="s">
        <v>358</v>
      </c>
    </row>
    <row r="6" spans="2:2" ht="12" customHeight="1" x14ac:dyDescent="0.25">
      <c r="B6" s="192" t="s">
        <v>357</v>
      </c>
    </row>
    <row r="7" spans="2:2" ht="12" customHeight="1" x14ac:dyDescent="0.25">
      <c r="B7" s="193" t="s">
        <v>356</v>
      </c>
    </row>
    <row r="8" spans="2:2" ht="12" customHeight="1" x14ac:dyDescent="0.25">
      <c r="B8" s="193"/>
    </row>
    <row r="9" spans="2:2" ht="12" customHeight="1" x14ac:dyDescent="0.25">
      <c r="B9" s="11" t="s">
        <v>338</v>
      </c>
    </row>
    <row r="10" spans="2:2" ht="12" customHeight="1" x14ac:dyDescent="0.25">
      <c r="B10" s="12" t="s">
        <v>339</v>
      </c>
    </row>
    <row r="11" spans="2:2" ht="12" customHeight="1" x14ac:dyDescent="0.25">
      <c r="B11" s="12" t="s">
        <v>341</v>
      </c>
    </row>
    <row r="12" spans="2:2" ht="12" customHeight="1" x14ac:dyDescent="0.25">
      <c r="B12" s="12" t="s">
        <v>343</v>
      </c>
    </row>
    <row r="13" spans="2:2" ht="12" customHeight="1" x14ac:dyDescent="0.25">
      <c r="B13" s="12"/>
    </row>
    <row r="14" spans="2:2" ht="12" customHeight="1" x14ac:dyDescent="0.25">
      <c r="B14" s="12" t="s">
        <v>340</v>
      </c>
    </row>
    <row r="15" spans="2:2" ht="12" customHeight="1" x14ac:dyDescent="0.25">
      <c r="B15" s="12"/>
    </row>
    <row r="16" spans="2:2" ht="12" customHeight="1" x14ac:dyDescent="0.25">
      <c r="B16" s="11" t="s">
        <v>27</v>
      </c>
    </row>
    <row r="17" spans="2:2" ht="12" customHeight="1" x14ac:dyDescent="0.25">
      <c r="B17" s="12" t="s">
        <v>117</v>
      </c>
    </row>
    <row r="18" spans="2:2" ht="12" customHeight="1" x14ac:dyDescent="0.25">
      <c r="B18" s="180" t="s">
        <v>354</v>
      </c>
    </row>
    <row r="19" spans="2:2" ht="12" customHeight="1" x14ac:dyDescent="0.25">
      <c r="B19" s="12" t="s">
        <v>351</v>
      </c>
    </row>
    <row r="20" spans="2:2" ht="12" customHeight="1" x14ac:dyDescent="0.25">
      <c r="B20" s="12" t="s">
        <v>188</v>
      </c>
    </row>
    <row r="21" spans="2:2" ht="12" customHeight="1" x14ac:dyDescent="0.25">
      <c r="B21" s="12" t="s">
        <v>189</v>
      </c>
    </row>
    <row r="22" spans="2:2" ht="12" customHeight="1" x14ac:dyDescent="0.25">
      <c r="B22" s="12" t="s">
        <v>180</v>
      </c>
    </row>
    <row r="23" spans="2:2" ht="12" customHeight="1" x14ac:dyDescent="0.25">
      <c r="B23" s="12" t="s">
        <v>181</v>
      </c>
    </row>
    <row r="24" spans="2:2" ht="12" customHeight="1" x14ac:dyDescent="0.25">
      <c r="B24" s="12"/>
    </row>
    <row r="25" spans="2:2" ht="12" customHeight="1" x14ac:dyDescent="0.25">
      <c r="B25" s="180" t="s">
        <v>334</v>
      </c>
    </row>
    <row r="26" spans="2:2" ht="12" customHeight="1" x14ac:dyDescent="0.25">
      <c r="B26" s="12"/>
    </row>
    <row r="27" spans="2:2" ht="12" customHeight="1" x14ac:dyDescent="0.25">
      <c r="B27" s="180" t="s">
        <v>335</v>
      </c>
    </row>
    <row r="28" spans="2:2" ht="12" customHeight="1" x14ac:dyDescent="0.25">
      <c r="B28" s="12"/>
    </row>
    <row r="29" spans="2:2" ht="12" customHeight="1" x14ac:dyDescent="0.25">
      <c r="B29" s="12" t="s">
        <v>182</v>
      </c>
    </row>
    <row r="30" spans="2:2" ht="12" customHeight="1" x14ac:dyDescent="0.25">
      <c r="B30" s="12" t="s">
        <v>183</v>
      </c>
    </row>
    <row r="31" spans="2:2" ht="12" customHeight="1" x14ac:dyDescent="0.25">
      <c r="B31" s="12"/>
    </row>
    <row r="32" spans="2:2" ht="12" customHeight="1" x14ac:dyDescent="0.25">
      <c r="B32" s="12" t="s">
        <v>184</v>
      </c>
    </row>
    <row r="33" spans="2:2" ht="12" customHeight="1" x14ac:dyDescent="0.25">
      <c r="B33" s="12" t="s">
        <v>185</v>
      </c>
    </row>
    <row r="34" spans="2:2" ht="12" customHeight="1" x14ac:dyDescent="0.25">
      <c r="B34" s="12" t="s">
        <v>186</v>
      </c>
    </row>
    <row r="35" spans="2:2" ht="12" customHeight="1" x14ac:dyDescent="0.25">
      <c r="B35" s="12" t="s">
        <v>328</v>
      </c>
    </row>
    <row r="36" spans="2:2" ht="12" customHeight="1" x14ac:dyDescent="0.25">
      <c r="B36" s="12" t="s">
        <v>329</v>
      </c>
    </row>
    <row r="37" spans="2:2" ht="12" customHeight="1" x14ac:dyDescent="0.25">
      <c r="B37" s="180" t="s">
        <v>336</v>
      </c>
    </row>
    <row r="38" spans="2:2" ht="12" customHeight="1" x14ac:dyDescent="0.25">
      <c r="B38" s="12"/>
    </row>
    <row r="39" spans="2:2" ht="12" customHeight="1" x14ac:dyDescent="0.25">
      <c r="B39" s="11" t="s">
        <v>112</v>
      </c>
    </row>
    <row r="40" spans="2:2" ht="12" customHeight="1" x14ac:dyDescent="0.25">
      <c r="B40" s="12" t="s">
        <v>113</v>
      </c>
    </row>
    <row r="41" spans="2:2" ht="12" customHeight="1" x14ac:dyDescent="0.25">
      <c r="B41" s="12" t="s">
        <v>325</v>
      </c>
    </row>
    <row r="42" spans="2:2" ht="12" customHeight="1" x14ac:dyDescent="0.25">
      <c r="B42" s="12" t="s">
        <v>326</v>
      </c>
    </row>
    <row r="43" spans="2:2" ht="12" customHeight="1" x14ac:dyDescent="0.25">
      <c r="B43" s="182"/>
    </row>
    <row r="44" spans="2:2" ht="12" customHeight="1" x14ac:dyDescent="0.25">
      <c r="B44" s="12" t="s">
        <v>327</v>
      </c>
    </row>
    <row r="45" spans="2:2" ht="12" customHeight="1" x14ac:dyDescent="0.25">
      <c r="B45" s="12" t="s">
        <v>114</v>
      </c>
    </row>
    <row r="46" spans="2:2" ht="12" customHeight="1" x14ac:dyDescent="0.25">
      <c r="B46" s="12" t="s">
        <v>115</v>
      </c>
    </row>
    <row r="47" spans="2:2" ht="12" customHeight="1" x14ac:dyDescent="0.25">
      <c r="B47" s="12" t="s">
        <v>116</v>
      </c>
    </row>
    <row r="48" spans="2:2" ht="12" customHeight="1" x14ac:dyDescent="0.25">
      <c r="B48" s="12"/>
    </row>
    <row r="49" spans="2:2" ht="12" customHeight="1" x14ac:dyDescent="0.25">
      <c r="B49" s="11" t="s">
        <v>402</v>
      </c>
    </row>
    <row r="50" spans="2:2" ht="12" customHeight="1" x14ac:dyDescent="0.25">
      <c r="B50" s="12" t="s">
        <v>403</v>
      </c>
    </row>
    <row r="51" spans="2:2" ht="12" customHeight="1" x14ac:dyDescent="0.25">
      <c r="B51" s="12" t="s">
        <v>404</v>
      </c>
    </row>
    <row r="52" spans="2:2" ht="12" customHeight="1" x14ac:dyDescent="0.25">
      <c r="B52" s="12" t="s">
        <v>405</v>
      </c>
    </row>
    <row r="53" spans="2:2" ht="12" customHeight="1" x14ac:dyDescent="0.25">
      <c r="B53" s="12"/>
    </row>
    <row r="54" spans="2:2" ht="12" customHeight="1" x14ac:dyDescent="0.25">
      <c r="B54" s="12" t="s">
        <v>406</v>
      </c>
    </row>
    <row r="55" spans="2:2" ht="12" customHeight="1" x14ac:dyDescent="0.25">
      <c r="B55" s="12" t="s">
        <v>407</v>
      </c>
    </row>
    <row r="56" spans="2:2" ht="12" customHeight="1" x14ac:dyDescent="0.25">
      <c r="B56" s="12" t="s">
        <v>408</v>
      </c>
    </row>
    <row r="57" spans="2:2" ht="12" customHeight="1" x14ac:dyDescent="0.25">
      <c r="B57" s="12" t="s">
        <v>409</v>
      </c>
    </row>
    <row r="58" spans="2:2" ht="12" customHeight="1" x14ac:dyDescent="0.25">
      <c r="B58" s="12" t="s">
        <v>410</v>
      </c>
    </row>
    <row r="59" spans="2:2" ht="12" customHeight="1" x14ac:dyDescent="0.25">
      <c r="B59" s="12"/>
    </row>
    <row r="60" spans="2:2" ht="12" customHeight="1" x14ac:dyDescent="0.25">
      <c r="B60" s="11" t="s">
        <v>118</v>
      </c>
    </row>
    <row r="61" spans="2:2" ht="12" customHeight="1" x14ac:dyDescent="0.25">
      <c r="B61" s="12" t="s">
        <v>119</v>
      </c>
    </row>
    <row r="62" spans="2:2" ht="12" customHeight="1" x14ac:dyDescent="0.25">
      <c r="B62" s="12" t="s">
        <v>187</v>
      </c>
    </row>
    <row r="63" spans="2:2" ht="12" customHeight="1" x14ac:dyDescent="0.25">
      <c r="B63" s="12" t="s">
        <v>120</v>
      </c>
    </row>
    <row r="64" spans="2:2" ht="12" customHeight="1" x14ac:dyDescent="0.25">
      <c r="B64" s="12" t="s">
        <v>121</v>
      </c>
    </row>
    <row r="65" spans="2:2" ht="12" customHeight="1" x14ac:dyDescent="0.25">
      <c r="B65" s="13" t="s">
        <v>122</v>
      </c>
    </row>
    <row r="66" spans="2:2" ht="12" customHeight="1" x14ac:dyDescent="0.25">
      <c r="B66" s="12" t="s">
        <v>123</v>
      </c>
    </row>
    <row r="67" spans="2:2" ht="12" customHeight="1" x14ac:dyDescent="0.25">
      <c r="B67" s="12" t="s">
        <v>124</v>
      </c>
    </row>
    <row r="68" spans="2:2" ht="12" customHeight="1" x14ac:dyDescent="0.25">
      <c r="B68" s="12" t="s">
        <v>125</v>
      </c>
    </row>
    <row r="69" spans="2:2" ht="12" customHeight="1" x14ac:dyDescent="0.25">
      <c r="B69" s="12"/>
    </row>
    <row r="70" spans="2:2" ht="12" customHeight="1" x14ac:dyDescent="0.25">
      <c r="B70" s="12" t="s">
        <v>144</v>
      </c>
    </row>
    <row r="71" spans="2:2" ht="12" customHeight="1" x14ac:dyDescent="0.25">
      <c r="B71" s="12"/>
    </row>
    <row r="72" spans="2:2" ht="12" customHeight="1" x14ac:dyDescent="0.25">
      <c r="B72" s="12" t="s">
        <v>126</v>
      </c>
    </row>
    <row r="73" spans="2:2" ht="12" customHeight="1" x14ac:dyDescent="0.25">
      <c r="B73" s="12" t="s">
        <v>127</v>
      </c>
    </row>
    <row r="74" spans="2:2" ht="12" customHeight="1" x14ac:dyDescent="0.25">
      <c r="B74" s="12" t="s">
        <v>128</v>
      </c>
    </row>
    <row r="75" spans="2:2" ht="12" customHeight="1" x14ac:dyDescent="0.25">
      <c r="B75" s="12"/>
    </row>
    <row r="76" spans="2:2" ht="12" customHeight="1" x14ac:dyDescent="0.25">
      <c r="B76" s="12" t="s">
        <v>143</v>
      </c>
    </row>
    <row r="77" spans="2:2" ht="12" customHeight="1" x14ac:dyDescent="0.25">
      <c r="B77" s="12" t="s">
        <v>129</v>
      </c>
    </row>
    <row r="78" spans="2:2" ht="12" customHeight="1" x14ac:dyDescent="0.25">
      <c r="B78" s="12"/>
    </row>
    <row r="79" spans="2:2" ht="12" customHeight="1" x14ac:dyDescent="0.25">
      <c r="B79" s="11" t="s">
        <v>130</v>
      </c>
    </row>
    <row r="80" spans="2:2" ht="12" customHeight="1" x14ac:dyDescent="0.25">
      <c r="B80" s="12" t="s">
        <v>131</v>
      </c>
    </row>
    <row r="81" spans="2:2" ht="12" customHeight="1" x14ac:dyDescent="0.25">
      <c r="B81" s="12" t="s">
        <v>190</v>
      </c>
    </row>
    <row r="82" spans="2:2" ht="12" customHeight="1" x14ac:dyDescent="0.25">
      <c r="B82" s="12" t="s">
        <v>191</v>
      </c>
    </row>
    <row r="83" spans="2:2" ht="12" customHeight="1" x14ac:dyDescent="0.25">
      <c r="B83" s="12" t="s">
        <v>192</v>
      </c>
    </row>
    <row r="84" spans="2:2" ht="12" customHeight="1" x14ac:dyDescent="0.25">
      <c r="B84" s="12" t="s">
        <v>193</v>
      </c>
    </row>
    <row r="85" spans="2:2" ht="12" customHeight="1" x14ac:dyDescent="0.25">
      <c r="B85" s="12" t="s">
        <v>194</v>
      </c>
    </row>
    <row r="86" spans="2:2" ht="12" customHeight="1" x14ac:dyDescent="0.25">
      <c r="B86" s="180" t="s">
        <v>352</v>
      </c>
    </row>
    <row r="87" spans="2:2" ht="12" customHeight="1" x14ac:dyDescent="0.25">
      <c r="B87" s="180" t="s">
        <v>353</v>
      </c>
    </row>
    <row r="88" spans="2:2" ht="12" customHeight="1" x14ac:dyDescent="0.25">
      <c r="B88" s="12"/>
    </row>
    <row r="89" spans="2:2" ht="12" customHeight="1" x14ac:dyDescent="0.25">
      <c r="B89" s="12" t="s">
        <v>132</v>
      </c>
    </row>
    <row r="90" spans="2:2" ht="12" customHeight="1" x14ac:dyDescent="0.25">
      <c r="B90" s="12" t="s">
        <v>133</v>
      </c>
    </row>
    <row r="91" spans="2:2" ht="12" customHeight="1" x14ac:dyDescent="0.25">
      <c r="B91" s="12" t="s">
        <v>134</v>
      </c>
    </row>
    <row r="92" spans="2:2" ht="12" customHeight="1" x14ac:dyDescent="0.25">
      <c r="B92" s="12"/>
    </row>
    <row r="93" spans="2:2" ht="12" customHeight="1" x14ac:dyDescent="0.25">
      <c r="B93" s="14" t="s">
        <v>135</v>
      </c>
    </row>
    <row r="94" spans="2:2" ht="12" customHeight="1" x14ac:dyDescent="0.25">
      <c r="B94" s="13" t="s">
        <v>136</v>
      </c>
    </row>
    <row r="95" spans="2:2" ht="12" customHeight="1" x14ac:dyDescent="0.25">
      <c r="B95" s="13" t="s">
        <v>137</v>
      </c>
    </row>
    <row r="96" spans="2:2" ht="12" customHeight="1" x14ac:dyDescent="0.25">
      <c r="B96" s="13" t="s">
        <v>138</v>
      </c>
    </row>
    <row r="97" spans="2:2" ht="12" customHeight="1" x14ac:dyDescent="0.25">
      <c r="B97" s="13" t="s">
        <v>139</v>
      </c>
    </row>
    <row r="98" spans="2:2" ht="12" customHeight="1" x14ac:dyDescent="0.25">
      <c r="B98" s="13"/>
    </row>
    <row r="99" spans="2:2" ht="12" customHeight="1" x14ac:dyDescent="0.25">
      <c r="B99" s="30" t="s">
        <v>171</v>
      </c>
    </row>
    <row r="100" spans="2:2" ht="12" customHeight="1" x14ac:dyDescent="0.25">
      <c r="B100" s="13" t="s">
        <v>195</v>
      </c>
    </row>
    <row r="101" spans="2:2" ht="12" customHeight="1" x14ac:dyDescent="0.25">
      <c r="B101" s="13" t="s">
        <v>196</v>
      </c>
    </row>
    <row r="102" spans="2:2" ht="12" customHeight="1" x14ac:dyDescent="0.25">
      <c r="B102" s="13" t="s">
        <v>197</v>
      </c>
    </row>
    <row r="103" spans="2:2" ht="12" customHeight="1" x14ac:dyDescent="0.25">
      <c r="B103" s="13" t="s">
        <v>198</v>
      </c>
    </row>
    <row r="104" spans="2:2" ht="12" customHeight="1" x14ac:dyDescent="0.25">
      <c r="B104" s="13"/>
    </row>
    <row r="105" spans="2:2" ht="12" customHeight="1" x14ac:dyDescent="0.25">
      <c r="B105" s="30" t="s">
        <v>168</v>
      </c>
    </row>
    <row r="106" spans="2:2" ht="12" customHeight="1" x14ac:dyDescent="0.25">
      <c r="B106" s="13" t="s">
        <v>199</v>
      </c>
    </row>
    <row r="107" spans="2:2" ht="12" customHeight="1" x14ac:dyDescent="0.25">
      <c r="B107" s="13" t="s">
        <v>361</v>
      </c>
    </row>
    <row r="108" spans="2:2" ht="12" customHeight="1" x14ac:dyDescent="0.25">
      <c r="B108" s="31" t="s">
        <v>363</v>
      </c>
    </row>
    <row r="109" spans="2:2" ht="12" customHeight="1" x14ac:dyDescent="0.25">
      <c r="B109" s="13" t="s">
        <v>362</v>
      </c>
    </row>
    <row r="110" spans="2:2" ht="12" customHeight="1" x14ac:dyDescent="0.25">
      <c r="B110" s="13" t="s">
        <v>364</v>
      </c>
    </row>
    <row r="111" spans="2:2" ht="12" customHeight="1" x14ac:dyDescent="0.25">
      <c r="B111" s="13" t="s">
        <v>365</v>
      </c>
    </row>
    <row r="112" spans="2:2" x14ac:dyDescent="0.25">
      <c r="B112" s="13"/>
    </row>
    <row r="113" spans="2:2" ht="10.9" customHeight="1" x14ac:dyDescent="0.25">
      <c r="B113" s="13"/>
    </row>
    <row r="114" spans="2:2" ht="10.9" hidden="1" customHeight="1" x14ac:dyDescent="0.25">
      <c r="B114" s="13"/>
    </row>
    <row r="115" spans="2:2" ht="10.9" hidden="1" customHeight="1" x14ac:dyDescent="0.25">
      <c r="B115" s="13"/>
    </row>
    <row r="116" spans="2:2" ht="10.9" hidden="1" customHeight="1" x14ac:dyDescent="0.25">
      <c r="B116" s="13"/>
    </row>
    <row r="117" spans="2:2" hidden="1" x14ac:dyDescent="0.25">
      <c r="B117" s="13"/>
    </row>
    <row r="130" x14ac:dyDescent="0.25"/>
    <row r="131" x14ac:dyDescent="0.25"/>
    <row r="132" x14ac:dyDescent="0.25"/>
    <row r="133" x14ac:dyDescent="0.25"/>
    <row r="134" x14ac:dyDescent="0.25"/>
    <row r="135" x14ac:dyDescent="0.25"/>
    <row r="136" x14ac:dyDescent="0.25"/>
    <row r="137" x14ac:dyDescent="0.25"/>
    <row r="138" x14ac:dyDescent="0.25"/>
  </sheetData>
  <sheetProtection sheet="1" objects="1" scenarios="1"/>
  <hyperlinks>
    <hyperlink ref="B7" r:id="rId1" xr:uid="{00000000-0004-0000-0000-000000000000}"/>
    <hyperlink ref="B5" r:id="rId2"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G36"/>
  <sheetViews>
    <sheetView showGridLines="0" workbookViewId="0">
      <selection activeCell="B3" sqref="B3"/>
    </sheetView>
  </sheetViews>
  <sheetFormatPr defaultColWidth="0" defaultRowHeight="12" zeroHeight="1" x14ac:dyDescent="0.2"/>
  <cols>
    <col min="1" max="1" width="42.42578125" style="15" customWidth="1"/>
    <col min="2" max="2" width="11.7109375" style="15" customWidth="1"/>
    <col min="3" max="3" width="10.42578125" style="15" customWidth="1"/>
    <col min="4" max="4" width="10" style="15" bestFit="1" customWidth="1"/>
    <col min="5" max="5" width="13" style="15" customWidth="1"/>
    <col min="6" max="6" width="17.5703125" style="15" bestFit="1" customWidth="1"/>
    <col min="7" max="7" width="2.28515625" style="15" customWidth="1"/>
    <col min="8" max="16384" width="0" style="15" hidden="1"/>
  </cols>
  <sheetData>
    <row r="1" spans="1:7" ht="12.75" x14ac:dyDescent="0.2">
      <c r="A1" s="28" t="s">
        <v>145</v>
      </c>
      <c r="B1" s="29"/>
      <c r="C1" s="29"/>
      <c r="D1" s="29"/>
      <c r="E1" s="29"/>
      <c r="F1" s="29"/>
      <c r="G1" s="29"/>
    </row>
    <row r="2" spans="1:7" s="38" customFormat="1" ht="12" customHeight="1" x14ac:dyDescent="0.2">
      <c r="A2" s="47" t="str">
        <f>"(bedragen x € "&amp;IF('Invoer algemeen en balans'!$D$4="x 1.000","1.000",1)&amp;")"</f>
        <v>(bedragen x € 1.000)</v>
      </c>
    </row>
    <row r="3" spans="1:7" s="38" customFormat="1" ht="12" customHeight="1" x14ac:dyDescent="0.2">
      <c r="A3" s="38" t="s">
        <v>22</v>
      </c>
      <c r="B3" s="42">
        <v>0.25</v>
      </c>
    </row>
    <row r="4" spans="1:7" s="38" customFormat="1" ht="12" customHeight="1" x14ac:dyDescent="0.2">
      <c r="A4" s="38" t="s">
        <v>154</v>
      </c>
      <c r="B4" s="42">
        <v>0.5</v>
      </c>
    </row>
    <row r="5" spans="1:7" s="38" customFormat="1" ht="12" customHeight="1" x14ac:dyDescent="0.2">
      <c r="A5" s="38" t="s">
        <v>156</v>
      </c>
      <c r="B5" s="42">
        <v>1</v>
      </c>
    </row>
    <row r="6" spans="1:7" s="38" customFormat="1" ht="12" customHeight="1" x14ac:dyDescent="0.2">
      <c r="A6" s="43"/>
      <c r="B6" s="43"/>
      <c r="C6" s="44" t="s">
        <v>160</v>
      </c>
      <c r="D6" s="44" t="s">
        <v>158</v>
      </c>
      <c r="E6" s="43" t="s">
        <v>149</v>
      </c>
      <c r="F6" s="47" t="s">
        <v>330</v>
      </c>
    </row>
    <row r="7" spans="1:7" s="38" customFormat="1" ht="12" customHeight="1" x14ac:dyDescent="0.2">
      <c r="A7" s="38" t="s">
        <v>146</v>
      </c>
      <c r="B7" s="45">
        <v>0</v>
      </c>
    </row>
    <row r="8" spans="1:7" s="38" customFormat="1" ht="12" customHeight="1" x14ac:dyDescent="0.2">
      <c r="A8" s="38" t="s">
        <v>167</v>
      </c>
      <c r="B8" s="45">
        <v>0</v>
      </c>
    </row>
    <row r="9" spans="1:7" s="38" customFormat="1" ht="12" customHeight="1" x14ac:dyDescent="0.2">
      <c r="A9" s="38" t="s">
        <v>155</v>
      </c>
      <c r="B9" s="45">
        <v>0</v>
      </c>
      <c r="C9" s="39">
        <v>0</v>
      </c>
      <c r="D9" s="196">
        <f>+keu</f>
        <v>0.15895000000000001</v>
      </c>
      <c r="E9" s="40" t="e">
        <f>-PV(D9,C9,B4*B9*$B$3/C9)</f>
        <v>#DIV/0!</v>
      </c>
    </row>
    <row r="10" spans="1:7" s="38" customFormat="1" ht="12" customHeight="1" x14ac:dyDescent="0.2">
      <c r="A10" s="38" t="s">
        <v>148</v>
      </c>
      <c r="B10" s="45">
        <v>0</v>
      </c>
      <c r="C10" s="39">
        <v>0</v>
      </c>
      <c r="D10" s="179">
        <f>+D9</f>
        <v>0.15895000000000001</v>
      </c>
      <c r="E10" s="40" t="e">
        <f>-PV(D10,C10,B5*B10*$B$3/C10)</f>
        <v>#DIV/0!</v>
      </c>
    </row>
    <row r="11" spans="1:7" s="38" customFormat="1" ht="12" customHeight="1" x14ac:dyDescent="0.2">
      <c r="A11" s="38" t="s">
        <v>150</v>
      </c>
      <c r="B11" s="40" t="e">
        <f>E9+E10</f>
        <v>#DIV/0!</v>
      </c>
      <c r="D11" s="179"/>
      <c r="E11" s="40"/>
    </row>
    <row r="12" spans="1:7" s="38" customFormat="1" ht="12" customHeight="1" x14ac:dyDescent="0.2">
      <c r="A12" s="38" t="s">
        <v>153</v>
      </c>
      <c r="B12" s="40">
        <f>B7-B8-B9-B10</f>
        <v>0</v>
      </c>
      <c r="C12" s="39">
        <v>0</v>
      </c>
      <c r="D12" s="179">
        <f>+D10</f>
        <v>0.15895000000000001</v>
      </c>
      <c r="E12" s="40" t="e">
        <f>+(B12*(1/C12)*B3*F12)/(1-(1/C12)*B3*F12)</f>
        <v>#DIV/0!</v>
      </c>
      <c r="F12" s="38">
        <f>+(1-(1/(1+keu)^C12))/keu</f>
        <v>0</v>
      </c>
    </row>
    <row r="13" spans="1:7" s="38" customFormat="1" ht="12" customHeight="1" x14ac:dyDescent="0.2">
      <c r="A13" s="38" t="s">
        <v>161</v>
      </c>
      <c r="B13" s="40" t="e">
        <f>B12/(1-E12/B12)</f>
        <v>#DIV/0!</v>
      </c>
    </row>
    <row r="14" spans="1:7" s="38" customFormat="1" ht="12" customHeight="1" x14ac:dyDescent="0.2">
      <c r="A14" s="38" t="s">
        <v>151</v>
      </c>
      <c r="B14" s="40" t="e">
        <f>(E12/B12)*B13</f>
        <v>#DIV/0!</v>
      </c>
      <c r="E14" s="195"/>
    </row>
    <row r="15" spans="1:7" s="38" customFormat="1" ht="12" customHeight="1" x14ac:dyDescent="0.2">
      <c r="B15" s="40"/>
    </row>
    <row r="16" spans="1:7" s="38" customFormat="1" ht="12" customHeight="1" x14ac:dyDescent="0.2">
      <c r="A16" s="38" t="s">
        <v>169</v>
      </c>
      <c r="B16" s="40" t="e">
        <f>B13</f>
        <v>#DIV/0!</v>
      </c>
    </row>
    <row r="17" spans="1:3" s="38" customFormat="1" ht="12" customHeight="1" x14ac:dyDescent="0.2">
      <c r="A17" s="38" t="s">
        <v>157</v>
      </c>
      <c r="B17" s="40">
        <f>B8</f>
        <v>0</v>
      </c>
    </row>
    <row r="18" spans="1:3" s="38" customFormat="1" ht="12" customHeight="1" x14ac:dyDescent="0.2">
      <c r="A18" s="38" t="s">
        <v>147</v>
      </c>
      <c r="B18" s="40">
        <f>B9</f>
        <v>0</v>
      </c>
    </row>
    <row r="19" spans="1:3" s="38" customFormat="1" ht="12" customHeight="1" x14ac:dyDescent="0.2">
      <c r="A19" s="38" t="s">
        <v>148</v>
      </c>
      <c r="B19" s="46">
        <f>B10</f>
        <v>0</v>
      </c>
    </row>
    <row r="20" spans="1:3" s="38" customFormat="1" ht="12" customHeight="1" x14ac:dyDescent="0.2">
      <c r="A20" s="38" t="s">
        <v>150</v>
      </c>
      <c r="B20" s="41" t="e">
        <f>B11</f>
        <v>#DIV/0!</v>
      </c>
    </row>
    <row r="21" spans="1:3" s="38" customFormat="1" ht="12" customHeight="1" x14ac:dyDescent="0.2">
      <c r="A21" s="38" t="s">
        <v>159</v>
      </c>
      <c r="B21" s="40" t="e">
        <f>SUM(B16:B20)</f>
        <v>#DIV/0!</v>
      </c>
    </row>
    <row r="22" spans="1:3" s="38" customFormat="1" ht="12" customHeight="1" x14ac:dyDescent="0.2"/>
    <row r="23" spans="1:3" s="38" customFormat="1" ht="12" customHeight="1" x14ac:dyDescent="0.2">
      <c r="A23" s="47" t="s">
        <v>162</v>
      </c>
    </row>
    <row r="24" spans="1:3" s="38" customFormat="1" ht="12" customHeight="1" x14ac:dyDescent="0.2">
      <c r="A24" s="38" t="s">
        <v>152</v>
      </c>
      <c r="B24" s="40" t="e">
        <f>B21</f>
        <v>#DIV/0!</v>
      </c>
    </row>
    <row r="25" spans="1:3" s="38" customFormat="1" ht="12" customHeight="1" x14ac:dyDescent="0.2">
      <c r="A25" s="38" t="s">
        <v>163</v>
      </c>
      <c r="B25" s="40" t="e">
        <f>E9</f>
        <v>#DIV/0!</v>
      </c>
      <c r="C25" s="48" t="str">
        <f>IF(B9=0,"",E9/B9)</f>
        <v/>
      </c>
    </row>
    <row r="26" spans="1:3" s="38" customFormat="1" ht="12" customHeight="1" x14ac:dyDescent="0.2">
      <c r="A26" s="38" t="s">
        <v>164</v>
      </c>
      <c r="B26" s="40" t="e">
        <f>E10</f>
        <v>#DIV/0!</v>
      </c>
      <c r="C26" s="48" t="str">
        <f>IF(B10=0,"",E10/B10)</f>
        <v/>
      </c>
    </row>
    <row r="27" spans="1:3" s="38" customFormat="1" ht="12" customHeight="1" x14ac:dyDescent="0.2">
      <c r="A27" s="38" t="s">
        <v>165</v>
      </c>
      <c r="B27" s="41" t="e">
        <f>B14</f>
        <v>#DIV/0!</v>
      </c>
      <c r="C27" s="48" t="e">
        <f>IF(B16=0,"",B27/B16)</f>
        <v>#DIV/0!</v>
      </c>
    </row>
    <row r="28" spans="1:3" s="38" customFormat="1" ht="12" customHeight="1" x14ac:dyDescent="0.2">
      <c r="A28" s="38" t="s">
        <v>166</v>
      </c>
      <c r="B28" s="40" t="e">
        <f>B24-B25-B26-B27</f>
        <v>#DIV/0!</v>
      </c>
    </row>
    <row r="29" spans="1:3" s="38" customFormat="1" ht="12" customHeight="1" x14ac:dyDescent="0.2"/>
    <row r="30" spans="1:3" s="38" customFormat="1" ht="12" customHeight="1" x14ac:dyDescent="0.2"/>
    <row r="31" spans="1:3" ht="12" customHeight="1" x14ac:dyDescent="0.2"/>
    <row r="32" spans="1:3" ht="12" customHeight="1" x14ac:dyDescent="0.2"/>
    <row r="33" ht="12" customHeight="1" x14ac:dyDescent="0.2"/>
    <row r="34" ht="12" customHeight="1" x14ac:dyDescent="0.2"/>
    <row r="35" ht="12" customHeight="1" x14ac:dyDescent="0.2"/>
    <row r="36" ht="12" customHeight="1" x14ac:dyDescent="0.2"/>
  </sheetData>
  <sheetProtection sheet="1" selectLockedCells="1"/>
  <pageMargins left="0.7" right="0.7" top="0.75" bottom="0.75" header="0.3" footer="0.3"/>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0"/>
  <dimension ref="A1:I22"/>
  <sheetViews>
    <sheetView showGridLines="0" workbookViewId="0">
      <selection activeCell="B3" sqref="B3"/>
    </sheetView>
  </sheetViews>
  <sheetFormatPr defaultColWidth="0" defaultRowHeight="14.25" zeroHeight="1" x14ac:dyDescent="0.2"/>
  <cols>
    <col min="1" max="1" width="35.85546875" style="24" customWidth="1"/>
    <col min="2" max="2" width="13.7109375" style="24" bestFit="1" customWidth="1"/>
    <col min="3" max="3" width="1.5703125" style="24" customWidth="1"/>
    <col min="4" max="16384" width="9.140625" style="24" hidden="1"/>
  </cols>
  <sheetData>
    <row r="1" spans="1:3" s="34" customFormat="1" ht="16.5" x14ac:dyDescent="0.25">
      <c r="A1" s="28" t="s">
        <v>173</v>
      </c>
      <c r="B1" s="33"/>
      <c r="C1" s="33"/>
    </row>
    <row r="2" spans="1:3" x14ac:dyDescent="0.2">
      <c r="A2" s="47" t="str">
        <f>"(bedragen x € "&amp;IF('Invoer algemeen en balans'!$D$4="x 1.000","1.000",1)&amp;")"</f>
        <v>(bedragen x € 1.000)</v>
      </c>
      <c r="B2" s="38"/>
      <c r="C2" s="38"/>
    </row>
    <row r="3" spans="1:3" s="36" customFormat="1" ht="12.75" x14ac:dyDescent="0.2">
      <c r="A3" s="38" t="s">
        <v>179</v>
      </c>
      <c r="B3" s="39">
        <v>15</v>
      </c>
      <c r="C3" s="38"/>
    </row>
    <row r="4" spans="1:3" x14ac:dyDescent="0.2">
      <c r="A4" s="38" t="s">
        <v>172</v>
      </c>
      <c r="B4" s="40" t="e">
        <f>APV!H17</f>
        <v>#DIV/0!</v>
      </c>
      <c r="C4" s="38"/>
    </row>
    <row r="5" spans="1:3" x14ac:dyDescent="0.2">
      <c r="A5" s="38"/>
      <c r="B5" s="40"/>
      <c r="C5" s="38"/>
    </row>
    <row r="6" spans="1:3" x14ac:dyDescent="0.2">
      <c r="A6" s="38" t="s">
        <v>331</v>
      </c>
      <c r="B6" s="40" t="e">
        <f>APV!H19</f>
        <v>#DIV/0!</v>
      </c>
      <c r="C6" s="38"/>
    </row>
    <row r="7" spans="1:3" x14ac:dyDescent="0.2">
      <c r="A7" s="38" t="str">
        <f>"Contante waarde jaar 7 tot en met jaar "&amp;B3</f>
        <v>Contante waarde jaar 7 tot en met jaar 15</v>
      </c>
      <c r="B7" s="41" t="e">
        <f>B6-B8</f>
        <v>#DIV/0!</v>
      </c>
      <c r="C7" s="38"/>
    </row>
    <row r="8" spans="1:3" x14ac:dyDescent="0.2">
      <c r="A8" s="38" t="s">
        <v>170</v>
      </c>
      <c r="B8" s="40" t="e">
        <f>(B4*(1+'Invoer algemeen en balans'!inflatie)^(B3-6))/(Rendementseis!C34-'Invoer algemeen en balans'!inflatie)/(1+Rendementseis!C34)^B3</f>
        <v>#DIV/0!</v>
      </c>
      <c r="C8" s="38"/>
    </row>
    <row r="9" spans="1:3" x14ac:dyDescent="0.2">
      <c r="A9" s="38"/>
      <c r="B9" s="38"/>
      <c r="C9" s="38"/>
    </row>
    <row r="10" spans="1:3" x14ac:dyDescent="0.2"/>
    <row r="11" spans="1:3" x14ac:dyDescent="0.2"/>
    <row r="20" spans="2:9" hidden="1" x14ac:dyDescent="0.2">
      <c r="B20" s="35"/>
      <c r="C20" s="35"/>
      <c r="D20" s="35"/>
      <c r="E20" s="35"/>
      <c r="F20" s="35"/>
      <c r="G20" s="35"/>
      <c r="H20" s="35"/>
      <c r="I20" s="35"/>
    </row>
    <row r="22" spans="2:9" hidden="1" x14ac:dyDescent="0.2">
      <c r="B22" s="35"/>
    </row>
  </sheetData>
  <sheetProtection sheet="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IV119"/>
  <sheetViews>
    <sheetView showGridLines="0" zoomScaleNormal="100" zoomScaleSheetLayoutView="145" workbookViewId="0">
      <pane ySplit="21" topLeftCell="A22" activePane="bottomLeft" state="frozen"/>
      <selection pane="bottomLeft" activeCell="C17" sqref="C17"/>
    </sheetView>
  </sheetViews>
  <sheetFormatPr defaultColWidth="0" defaultRowHeight="11.25" zeroHeight="1" x14ac:dyDescent="0.2"/>
  <cols>
    <col min="1" max="1" width="47.85546875" style="78" bestFit="1" customWidth="1"/>
    <col min="2" max="10" width="8.85546875" style="78" customWidth="1"/>
    <col min="11" max="11" width="2.140625" style="78" customWidth="1"/>
    <col min="12" max="16384" width="0" style="78" hidden="1"/>
  </cols>
  <sheetData>
    <row r="1" spans="1:11" s="155" customFormat="1" ht="12.75" x14ac:dyDescent="0.2">
      <c r="A1" s="153" t="s">
        <v>373</v>
      </c>
      <c r="B1" s="153"/>
      <c r="C1" s="154"/>
      <c r="D1" s="154"/>
      <c r="E1" s="154"/>
      <c r="F1" s="154"/>
      <c r="G1" s="154"/>
      <c r="H1" s="154"/>
      <c r="I1" s="154"/>
      <c r="J1" s="154"/>
      <c r="K1" s="154"/>
    </row>
    <row r="2" spans="1:11" ht="12" customHeight="1" x14ac:dyDescent="0.2">
      <c r="A2" s="118" t="s">
        <v>207</v>
      </c>
      <c r="B2" s="118"/>
      <c r="C2" s="118"/>
      <c r="D2" s="119"/>
      <c r="E2" s="119"/>
      <c r="F2" s="119"/>
      <c r="G2" s="118"/>
      <c r="H2" s="118"/>
      <c r="I2" s="118"/>
      <c r="J2" s="118"/>
    </row>
    <row r="3" spans="1:11" ht="12" customHeight="1" x14ac:dyDescent="0.2">
      <c r="A3" s="191" t="s">
        <v>350</v>
      </c>
      <c r="B3" s="118"/>
      <c r="C3" s="118"/>
      <c r="D3" s="187">
        <v>2020</v>
      </c>
      <c r="E3" s="120"/>
      <c r="F3" s="118"/>
      <c r="G3" s="118"/>
      <c r="H3" s="118"/>
      <c r="I3" s="118"/>
      <c r="J3" s="118"/>
    </row>
    <row r="4" spans="1:11" ht="12" customHeight="1" x14ac:dyDescent="0.2">
      <c r="A4" s="191" t="s">
        <v>342</v>
      </c>
      <c r="B4" s="118"/>
      <c r="C4" s="118"/>
      <c r="D4" s="187" t="s">
        <v>376</v>
      </c>
      <c r="E4" s="120"/>
      <c r="F4" s="118"/>
      <c r="G4" s="118"/>
      <c r="H4" s="118"/>
      <c r="I4" s="118"/>
      <c r="J4" s="118"/>
    </row>
    <row r="5" spans="1:11" ht="12" customHeight="1" x14ac:dyDescent="0.2">
      <c r="A5" s="136" t="s">
        <v>29</v>
      </c>
      <c r="B5" s="136"/>
      <c r="C5" s="136"/>
      <c r="D5" s="126">
        <v>0.21</v>
      </c>
    </row>
    <row r="6" spans="1:11" ht="12" customHeight="1" x14ac:dyDescent="0.2">
      <c r="A6" s="136" t="s">
        <v>374</v>
      </c>
      <c r="B6" s="136"/>
      <c r="C6" s="136"/>
      <c r="D6" s="129">
        <v>0.05</v>
      </c>
    </row>
    <row r="7" spans="1:11" ht="12" customHeight="1" x14ac:dyDescent="0.2">
      <c r="A7" s="124" t="s">
        <v>46</v>
      </c>
      <c r="B7" s="124"/>
      <c r="C7" s="124"/>
      <c r="D7" s="129">
        <v>0.02</v>
      </c>
      <c r="E7" s="127"/>
      <c r="F7" s="128"/>
      <c r="G7" s="128"/>
      <c r="H7" s="128"/>
      <c r="I7" s="128"/>
      <c r="J7" s="128"/>
    </row>
    <row r="8" spans="1:11" ht="12" customHeight="1" x14ac:dyDescent="0.2">
      <c r="A8" s="124"/>
      <c r="B8" s="124"/>
      <c r="C8" s="124"/>
      <c r="D8" s="183"/>
      <c r="E8" s="127"/>
      <c r="F8" s="128"/>
      <c r="G8" s="128"/>
      <c r="H8" s="128"/>
      <c r="I8" s="128"/>
      <c r="J8" s="128"/>
    </row>
    <row r="9" spans="1:11" ht="12" customHeight="1" x14ac:dyDescent="0.2">
      <c r="A9" s="77" t="s">
        <v>224</v>
      </c>
      <c r="B9" s="77"/>
      <c r="C9" s="77"/>
      <c r="D9" s="121">
        <v>0</v>
      </c>
      <c r="E9" s="127"/>
      <c r="F9" s="128"/>
      <c r="G9" s="128"/>
      <c r="H9" s="128"/>
      <c r="I9" s="128"/>
      <c r="J9" s="128"/>
    </row>
    <row r="10" spans="1:11" ht="12" customHeight="1" x14ac:dyDescent="0.2">
      <c r="A10" s="122" t="s">
        <v>347</v>
      </c>
      <c r="B10" s="122"/>
      <c r="C10" s="122"/>
      <c r="D10" s="98">
        <f>+D55+D56+D58+D59</f>
        <v>0</v>
      </c>
      <c r="E10" s="127"/>
      <c r="F10" s="128"/>
      <c r="G10" s="128"/>
      <c r="H10" s="128"/>
      <c r="I10" s="128"/>
      <c r="J10" s="128"/>
    </row>
    <row r="11" spans="1:11" ht="12" customHeight="1" x14ac:dyDescent="0.2">
      <c r="A11" s="122" t="s">
        <v>349</v>
      </c>
      <c r="B11" s="122"/>
      <c r="C11" s="122"/>
      <c r="D11" s="121"/>
      <c r="E11" s="127"/>
      <c r="F11" s="128"/>
      <c r="G11" s="128"/>
      <c r="H11" s="128"/>
      <c r="I11" s="128"/>
      <c r="J11" s="128"/>
    </row>
    <row r="12" spans="1:11" ht="12" customHeight="1" x14ac:dyDescent="0.2">
      <c r="A12" s="124" t="s">
        <v>28</v>
      </c>
      <c r="B12" s="124"/>
      <c r="C12" s="124"/>
      <c r="D12" s="125">
        <v>0</v>
      </c>
      <c r="E12" s="127"/>
      <c r="F12" s="128"/>
      <c r="G12" s="128"/>
      <c r="H12" s="128"/>
      <c r="I12" s="128"/>
      <c r="J12" s="128"/>
    </row>
    <row r="13" spans="1:11" ht="12" customHeight="1" x14ac:dyDescent="0.2">
      <c r="A13" s="124" t="s">
        <v>346</v>
      </c>
      <c r="B13" s="124"/>
      <c r="C13" s="124"/>
      <c r="D13" s="156">
        <f>D49</f>
        <v>0</v>
      </c>
      <c r="E13" s="127"/>
      <c r="F13" s="128"/>
      <c r="G13" s="128"/>
      <c r="H13" s="128"/>
      <c r="I13" s="128"/>
      <c r="J13" s="128"/>
    </row>
    <row r="14" spans="1:11" ht="12" customHeight="1" x14ac:dyDescent="0.2">
      <c r="D14" s="124"/>
      <c r="E14" s="127"/>
      <c r="F14" s="128"/>
      <c r="G14" s="128"/>
      <c r="H14" s="128"/>
      <c r="I14" s="128"/>
      <c r="J14" s="128"/>
    </row>
    <row r="15" spans="1:11" ht="12" customHeight="1" x14ac:dyDescent="0.2">
      <c r="A15" s="145" t="s">
        <v>231</v>
      </c>
      <c r="B15" s="117">
        <f>C15-1</f>
        <v>2018</v>
      </c>
      <c r="C15" s="117">
        <f>D15-1</f>
        <v>2019</v>
      </c>
      <c r="D15" s="145">
        <f>D3</f>
        <v>2020</v>
      </c>
      <c r="E15" s="117">
        <f t="shared" ref="E15:J15" si="0">D15+1</f>
        <v>2021</v>
      </c>
      <c r="F15" s="117">
        <f t="shared" si="0"/>
        <v>2022</v>
      </c>
      <c r="G15" s="117">
        <f t="shared" si="0"/>
        <v>2023</v>
      </c>
      <c r="H15" s="117">
        <f t="shared" si="0"/>
        <v>2024</v>
      </c>
      <c r="I15" s="117">
        <f t="shared" si="0"/>
        <v>2025</v>
      </c>
      <c r="J15" s="117">
        <f t="shared" si="0"/>
        <v>2026</v>
      </c>
    </row>
    <row r="16" spans="1:11" ht="12" customHeight="1" x14ac:dyDescent="0.2">
      <c r="A16" s="124" t="s">
        <v>34</v>
      </c>
      <c r="B16" s="199">
        <f>IF('Invoer exploitatie'!B34=0,0,B40/'Invoer exploitatie'!B34*365)</f>
        <v>0</v>
      </c>
      <c r="C16" s="199">
        <f>IF('Invoer exploitatie'!C34=0,0,C40/'Invoer exploitatie'!C34*365)</f>
        <v>0</v>
      </c>
      <c r="D16" s="199">
        <f>IF('Invoer exploitatie'!D34=0,0,D40/'Invoer exploitatie'!D34*365)</f>
        <v>0</v>
      </c>
      <c r="E16" s="200">
        <f t="shared" ref="E16:J16" si="1">D16</f>
        <v>0</v>
      </c>
      <c r="F16" s="200">
        <f t="shared" si="1"/>
        <v>0</v>
      </c>
      <c r="G16" s="200">
        <f t="shared" si="1"/>
        <v>0</v>
      </c>
      <c r="H16" s="200">
        <f t="shared" si="1"/>
        <v>0</v>
      </c>
      <c r="I16" s="200">
        <f t="shared" si="1"/>
        <v>0</v>
      </c>
      <c r="J16" s="200">
        <f t="shared" si="1"/>
        <v>0</v>
      </c>
    </row>
    <row r="17" spans="1:10" ht="12" customHeight="1" x14ac:dyDescent="0.2">
      <c r="A17" s="124" t="s">
        <v>291</v>
      </c>
      <c r="B17" s="199">
        <f>IF('Invoer exploitatie'!B34=0,0,B41/'Invoer exploitatie'!B35*365)</f>
        <v>0</v>
      </c>
      <c r="C17" s="199">
        <f>IF('Invoer exploitatie'!C34=0,0,C41/'Invoer exploitatie'!C35*365)</f>
        <v>0</v>
      </c>
      <c r="D17" s="199">
        <f>IF('Invoer exploitatie'!D34=0,0,D41/'Invoer exploitatie'!D35*365)</f>
        <v>0</v>
      </c>
      <c r="E17" s="200">
        <f t="shared" ref="E17:G18" si="2">D17</f>
        <v>0</v>
      </c>
      <c r="F17" s="200">
        <f t="shared" si="2"/>
        <v>0</v>
      </c>
      <c r="G17" s="200">
        <f t="shared" si="2"/>
        <v>0</v>
      </c>
      <c r="H17" s="200">
        <f t="shared" ref="H17:J19" si="3">+G17</f>
        <v>0</v>
      </c>
      <c r="I17" s="200">
        <f t="shared" si="3"/>
        <v>0</v>
      </c>
      <c r="J17" s="200">
        <f t="shared" si="3"/>
        <v>0</v>
      </c>
    </row>
    <row r="18" spans="1:10" ht="12" customHeight="1" x14ac:dyDescent="0.2">
      <c r="A18" s="124" t="s">
        <v>33</v>
      </c>
      <c r="B18" s="199">
        <f>IF('Invoer exploitatie'!B26=0,0,B42/(1+D5)/'Invoer exploitatie'!B26*365)</f>
        <v>0</v>
      </c>
      <c r="C18" s="199">
        <f>IF('Invoer exploitatie'!C26=0,0,C42/(1+D5)/'Invoer exploitatie'!C26*365)</f>
        <v>0</v>
      </c>
      <c r="D18" s="199">
        <f>IF('Invoer exploitatie'!D26=0,0,D42/(1+D5)/'Invoer exploitatie'!D26*365)</f>
        <v>0</v>
      </c>
      <c r="E18" s="200">
        <f t="shared" si="2"/>
        <v>0</v>
      </c>
      <c r="F18" s="200">
        <f t="shared" si="2"/>
        <v>0</v>
      </c>
      <c r="G18" s="200">
        <f t="shared" si="2"/>
        <v>0</v>
      </c>
      <c r="H18" s="200">
        <f t="shared" si="3"/>
        <v>0</v>
      </c>
      <c r="I18" s="200">
        <f t="shared" si="3"/>
        <v>0</v>
      </c>
      <c r="J18" s="200">
        <f t="shared" si="3"/>
        <v>0</v>
      </c>
    </row>
    <row r="19" spans="1:10" ht="12" customHeight="1" x14ac:dyDescent="0.2">
      <c r="A19" s="124" t="s">
        <v>35</v>
      </c>
      <c r="B19" s="199">
        <f>IF('Invoer exploitatie'!B34=0,0,+B57/(1+D5)/'Invoer exploitatie'!B34*365)</f>
        <v>0</v>
      </c>
      <c r="C19" s="199">
        <f>IF('Invoer exploitatie'!C34=0,0,+C57/(1+D5)/'Invoer exploitatie'!C34*365)</f>
        <v>0</v>
      </c>
      <c r="D19" s="199">
        <f>IF('Invoer exploitatie'!D34=0,0,+D57/(1+D5)/'Invoer exploitatie'!D34*365)</f>
        <v>0</v>
      </c>
      <c r="E19" s="200">
        <f>D19</f>
        <v>0</v>
      </c>
      <c r="F19" s="200">
        <f>E19</f>
        <v>0</v>
      </c>
      <c r="G19" s="200">
        <f>F19</f>
        <v>0</v>
      </c>
      <c r="H19" s="200">
        <f t="shared" si="3"/>
        <v>0</v>
      </c>
      <c r="I19" s="200">
        <f t="shared" si="3"/>
        <v>0</v>
      </c>
      <c r="J19" s="200">
        <f t="shared" si="3"/>
        <v>0</v>
      </c>
    </row>
    <row r="20" spans="1:10" ht="12" customHeight="1" x14ac:dyDescent="0.2">
      <c r="A20" s="78" t="s">
        <v>221</v>
      </c>
      <c r="B20" s="159" t="str">
        <f>IF(B52="","",B52/B68)</f>
        <v/>
      </c>
      <c r="C20" s="159" t="str">
        <f>IF(C52="","",C52/C68)</f>
        <v/>
      </c>
      <c r="D20" s="159" t="str">
        <f>IF(D52="","",D52/D68)</f>
        <v/>
      </c>
      <c r="E20" s="159" t="str">
        <f t="shared" ref="E20:J20" si="4">IF(E52=0,"",E52/E68)</f>
        <v/>
      </c>
      <c r="F20" s="159" t="str">
        <f t="shared" si="4"/>
        <v/>
      </c>
      <c r="G20" s="159" t="str">
        <f t="shared" si="4"/>
        <v/>
      </c>
      <c r="H20" s="159" t="str">
        <f t="shared" si="4"/>
        <v/>
      </c>
      <c r="I20" s="159" t="str">
        <f t="shared" si="4"/>
        <v/>
      </c>
      <c r="J20" s="159" t="str">
        <f t="shared" si="4"/>
        <v/>
      </c>
    </row>
    <row r="21" spans="1:10" ht="12" customHeight="1" x14ac:dyDescent="0.2">
      <c r="A21" s="78" t="s">
        <v>229</v>
      </c>
      <c r="B21" s="159" t="str">
        <f>IF(B52="","",B52/(B52+B55+B56))</f>
        <v/>
      </c>
      <c r="C21" s="159" t="str">
        <f>IF(C52="","",C52/(C52+C55+C56))</f>
        <v/>
      </c>
      <c r="D21" s="159" t="str">
        <f>IF(D52="","",D52/(D52+D55+D56))</f>
        <v/>
      </c>
      <c r="E21" s="159" t="str">
        <f t="shared" ref="E21:J21" si="5">IF(E52=0,"",E52/(E52+E55+E56))</f>
        <v/>
      </c>
      <c r="F21" s="159" t="str">
        <f t="shared" si="5"/>
        <v/>
      </c>
      <c r="G21" s="159" t="str">
        <f t="shared" si="5"/>
        <v/>
      </c>
      <c r="H21" s="159" t="str">
        <f t="shared" si="5"/>
        <v/>
      </c>
      <c r="I21" s="159" t="str">
        <f t="shared" si="5"/>
        <v/>
      </c>
      <c r="J21" s="159" t="str">
        <f t="shared" si="5"/>
        <v/>
      </c>
    </row>
    <row r="22" spans="1:10" s="161" customFormat="1" ht="12" customHeight="1" x14ac:dyDescent="0.2">
      <c r="A22" s="145" t="str">
        <f>"Balans                     "&amp;"(bedragen x € "&amp;IF(D4="x 1.000","1.000",1)&amp;")"</f>
        <v>Balans                     (bedragen x € 1.000)</v>
      </c>
      <c r="B22" s="117">
        <f t="shared" ref="B22:J22" si="6">B15</f>
        <v>2018</v>
      </c>
      <c r="C22" s="117">
        <f t="shared" si="6"/>
        <v>2019</v>
      </c>
      <c r="D22" s="117">
        <f t="shared" si="6"/>
        <v>2020</v>
      </c>
      <c r="E22" s="117">
        <f t="shared" si="6"/>
        <v>2021</v>
      </c>
      <c r="F22" s="117">
        <f t="shared" si="6"/>
        <v>2022</v>
      </c>
      <c r="G22" s="117">
        <f t="shared" si="6"/>
        <v>2023</v>
      </c>
      <c r="H22" s="117">
        <f t="shared" si="6"/>
        <v>2024</v>
      </c>
      <c r="I22" s="117">
        <f t="shared" si="6"/>
        <v>2025</v>
      </c>
      <c r="J22" s="117">
        <f t="shared" si="6"/>
        <v>2026</v>
      </c>
    </row>
    <row r="23" spans="1:10" s="176" customFormat="1" ht="12" customHeight="1" x14ac:dyDescent="0.2">
      <c r="A23" s="174" t="s">
        <v>279</v>
      </c>
      <c r="B23" s="201"/>
      <c r="C23" s="201"/>
      <c r="D23" s="201"/>
      <c r="E23" s="202">
        <f t="shared" ref="E23:J23" si="7">D23</f>
        <v>0</v>
      </c>
      <c r="F23" s="202">
        <f t="shared" si="7"/>
        <v>0</v>
      </c>
      <c r="G23" s="202">
        <f t="shared" si="7"/>
        <v>0</v>
      </c>
      <c r="H23" s="202">
        <f t="shared" si="7"/>
        <v>0</v>
      </c>
      <c r="I23" s="202">
        <f t="shared" si="7"/>
        <v>0</v>
      </c>
      <c r="J23" s="202">
        <f t="shared" si="7"/>
        <v>0</v>
      </c>
    </row>
    <row r="24" spans="1:10" s="176" customFormat="1" ht="12" customHeight="1" x14ac:dyDescent="0.2">
      <c r="A24" s="174" t="s">
        <v>280</v>
      </c>
      <c r="B24" s="201"/>
      <c r="C24" s="201"/>
      <c r="D24" s="201"/>
      <c r="E24" s="201">
        <f>-'Invoer exploitatie'!E82</f>
        <v>0</v>
      </c>
      <c r="F24" s="201">
        <f>-'Invoer exploitatie'!F82</f>
        <v>0</v>
      </c>
      <c r="G24" s="201">
        <f>-'Invoer exploitatie'!G82</f>
        <v>0</v>
      </c>
      <c r="H24" s="201">
        <f>-'Invoer exploitatie'!H82</f>
        <v>0</v>
      </c>
      <c r="I24" s="201">
        <f>-'Invoer exploitatie'!I82</f>
        <v>0</v>
      </c>
      <c r="J24" s="201">
        <f>-'Invoer exploitatie'!J82</f>
        <v>0</v>
      </c>
    </row>
    <row r="25" spans="1:10" ht="12" customHeight="1" x14ac:dyDescent="0.2">
      <c r="A25" s="130" t="s">
        <v>306</v>
      </c>
      <c r="B25" s="203"/>
      <c r="C25" s="203"/>
      <c r="D25" s="203"/>
      <c r="E25" s="204">
        <f t="shared" ref="E25:J25" si="8">D25+E23+E24</f>
        <v>0</v>
      </c>
      <c r="F25" s="204">
        <f t="shared" si="8"/>
        <v>0</v>
      </c>
      <c r="G25" s="204">
        <f t="shared" si="8"/>
        <v>0</v>
      </c>
      <c r="H25" s="204">
        <f t="shared" si="8"/>
        <v>0</v>
      </c>
      <c r="I25" s="204">
        <f t="shared" si="8"/>
        <v>0</v>
      </c>
      <c r="J25" s="204">
        <f t="shared" si="8"/>
        <v>0</v>
      </c>
    </row>
    <row r="26" spans="1:10" ht="12" customHeight="1" x14ac:dyDescent="0.2">
      <c r="A26" s="130"/>
      <c r="B26" s="205"/>
      <c r="C26" s="205"/>
      <c r="D26" s="205"/>
      <c r="E26" s="90"/>
      <c r="F26" s="90"/>
      <c r="G26" s="90"/>
      <c r="H26" s="90"/>
      <c r="I26" s="90"/>
      <c r="J26" s="90"/>
    </row>
    <row r="27" spans="1:10" s="176" customFormat="1" ht="12" customHeight="1" x14ac:dyDescent="0.2">
      <c r="A27" s="173" t="s">
        <v>281</v>
      </c>
      <c r="B27" s="201"/>
      <c r="C27" s="201"/>
      <c r="D27" s="201"/>
      <c r="E27" s="202">
        <f t="shared" ref="E27:J27" si="9">D27</f>
        <v>0</v>
      </c>
      <c r="F27" s="202">
        <f t="shared" si="9"/>
        <v>0</v>
      </c>
      <c r="G27" s="202">
        <f t="shared" si="9"/>
        <v>0</v>
      </c>
      <c r="H27" s="202">
        <f t="shared" si="9"/>
        <v>0</v>
      </c>
      <c r="I27" s="202">
        <f t="shared" si="9"/>
        <v>0</v>
      </c>
      <c r="J27" s="202">
        <f t="shared" si="9"/>
        <v>0</v>
      </c>
    </row>
    <row r="28" spans="1:10" s="176" customFormat="1" ht="12" customHeight="1" x14ac:dyDescent="0.2">
      <c r="A28" s="175" t="s">
        <v>282</v>
      </c>
      <c r="B28" s="201"/>
      <c r="C28" s="201"/>
      <c r="D28" s="201"/>
      <c r="E28" s="201">
        <f>-'Invoer exploitatie'!E84</f>
        <v>0</v>
      </c>
      <c r="F28" s="201">
        <f>-'Invoer exploitatie'!F84</f>
        <v>0</v>
      </c>
      <c r="G28" s="201">
        <f>-'Invoer exploitatie'!G84</f>
        <v>0</v>
      </c>
      <c r="H28" s="201">
        <f>-'Invoer exploitatie'!H84</f>
        <v>0</v>
      </c>
      <c r="I28" s="201">
        <f>-'Invoer exploitatie'!I84</f>
        <v>0</v>
      </c>
      <c r="J28" s="201">
        <f>-'Invoer exploitatie'!J84</f>
        <v>0</v>
      </c>
    </row>
    <row r="29" spans="1:10" ht="12" customHeight="1" x14ac:dyDescent="0.2">
      <c r="A29" s="124" t="s">
        <v>305</v>
      </c>
      <c r="B29" s="203"/>
      <c r="C29" s="203"/>
      <c r="D29" s="203"/>
      <c r="E29" s="204">
        <f t="shared" ref="E29:J29" si="10">D29+E27+E28</f>
        <v>0</v>
      </c>
      <c r="F29" s="204">
        <f t="shared" si="10"/>
        <v>0</v>
      </c>
      <c r="G29" s="204">
        <f t="shared" si="10"/>
        <v>0</v>
      </c>
      <c r="H29" s="204">
        <f t="shared" si="10"/>
        <v>0</v>
      </c>
      <c r="I29" s="204">
        <f t="shared" si="10"/>
        <v>0</v>
      </c>
      <c r="J29" s="204">
        <f t="shared" si="10"/>
        <v>0</v>
      </c>
    </row>
    <row r="30" spans="1:10" s="176" customFormat="1" ht="12" customHeight="1" x14ac:dyDescent="0.2">
      <c r="A30" s="173" t="s">
        <v>283</v>
      </c>
      <c r="B30" s="201"/>
      <c r="C30" s="201"/>
      <c r="D30" s="201"/>
      <c r="E30" s="202">
        <f>D30</f>
        <v>0</v>
      </c>
      <c r="F30" s="202">
        <f>E30</f>
        <v>0</v>
      </c>
      <c r="G30" s="202">
        <f>F30</f>
        <v>0</v>
      </c>
      <c r="H30" s="202">
        <f>G30</f>
        <v>0</v>
      </c>
      <c r="I30" s="202"/>
      <c r="J30" s="202">
        <v>0</v>
      </c>
    </row>
    <row r="31" spans="1:10" s="176" customFormat="1" ht="12" customHeight="1" x14ac:dyDescent="0.2">
      <c r="A31" s="175" t="s">
        <v>284</v>
      </c>
      <c r="B31" s="201"/>
      <c r="C31" s="201"/>
      <c r="D31" s="201"/>
      <c r="E31" s="201">
        <f>-'Invoer exploitatie'!E85</f>
        <v>0</v>
      </c>
      <c r="F31" s="201">
        <f>-'Invoer exploitatie'!F85</f>
        <v>0</v>
      </c>
      <c r="G31" s="201">
        <f>-'Invoer exploitatie'!G85</f>
        <v>0</v>
      </c>
      <c r="H31" s="201">
        <f>-'Invoer exploitatie'!H85</f>
        <v>0</v>
      </c>
      <c r="I31" s="201">
        <f>-'Invoer exploitatie'!I85</f>
        <v>0</v>
      </c>
      <c r="J31" s="201">
        <f>-'Invoer exploitatie'!J85</f>
        <v>0</v>
      </c>
    </row>
    <row r="32" spans="1:10" ht="12" customHeight="1" x14ac:dyDescent="0.2">
      <c r="A32" s="124" t="s">
        <v>304</v>
      </c>
      <c r="B32" s="203"/>
      <c r="C32" s="203"/>
      <c r="D32" s="203"/>
      <c r="E32" s="204">
        <f t="shared" ref="E32:J32" si="11">D32+E30+E31</f>
        <v>0</v>
      </c>
      <c r="F32" s="204">
        <f t="shared" si="11"/>
        <v>0</v>
      </c>
      <c r="G32" s="204">
        <f t="shared" si="11"/>
        <v>0</v>
      </c>
      <c r="H32" s="204">
        <f t="shared" si="11"/>
        <v>0</v>
      </c>
      <c r="I32" s="204">
        <f t="shared" si="11"/>
        <v>0</v>
      </c>
      <c r="J32" s="204">
        <f t="shared" si="11"/>
        <v>0</v>
      </c>
    </row>
    <row r="33" spans="1:10" s="176" customFormat="1" ht="12" customHeight="1" x14ac:dyDescent="0.2">
      <c r="A33" s="173" t="s">
        <v>285</v>
      </c>
      <c r="B33" s="201"/>
      <c r="C33" s="201"/>
      <c r="D33" s="201"/>
      <c r="E33" s="202">
        <f t="shared" ref="E33:J33" si="12">D33</f>
        <v>0</v>
      </c>
      <c r="F33" s="202">
        <f t="shared" si="12"/>
        <v>0</v>
      </c>
      <c r="G33" s="202">
        <f t="shared" si="12"/>
        <v>0</v>
      </c>
      <c r="H33" s="202">
        <f t="shared" si="12"/>
        <v>0</v>
      </c>
      <c r="I33" s="202">
        <f t="shared" si="12"/>
        <v>0</v>
      </c>
      <c r="J33" s="202">
        <f t="shared" si="12"/>
        <v>0</v>
      </c>
    </row>
    <row r="34" spans="1:10" s="176" customFormat="1" ht="12" customHeight="1" x14ac:dyDescent="0.2">
      <c r="A34" s="175" t="s">
        <v>286</v>
      </c>
      <c r="B34" s="201"/>
      <c r="C34" s="201"/>
      <c r="D34" s="201"/>
      <c r="E34" s="201">
        <f>-'Invoer exploitatie'!E86</f>
        <v>0</v>
      </c>
      <c r="F34" s="201">
        <f>-'Invoer exploitatie'!F86</f>
        <v>0</v>
      </c>
      <c r="G34" s="201">
        <f>-'Invoer exploitatie'!G86</f>
        <v>0</v>
      </c>
      <c r="H34" s="201">
        <f>-'Invoer exploitatie'!H86</f>
        <v>0</v>
      </c>
      <c r="I34" s="201">
        <f>-'Invoer exploitatie'!I86</f>
        <v>0</v>
      </c>
      <c r="J34" s="201">
        <f>-'Invoer exploitatie'!J86</f>
        <v>0</v>
      </c>
    </row>
    <row r="35" spans="1:10" ht="12" customHeight="1" x14ac:dyDescent="0.2">
      <c r="A35" s="124" t="s">
        <v>303</v>
      </c>
      <c r="B35" s="203"/>
      <c r="C35" s="203"/>
      <c r="D35" s="203"/>
      <c r="E35" s="204">
        <f t="shared" ref="E35:J35" si="13">D35+E33+E34</f>
        <v>0</v>
      </c>
      <c r="F35" s="204">
        <f t="shared" si="13"/>
        <v>0</v>
      </c>
      <c r="G35" s="204">
        <f t="shared" si="13"/>
        <v>0</v>
      </c>
      <c r="H35" s="204">
        <f t="shared" si="13"/>
        <v>0</v>
      </c>
      <c r="I35" s="204">
        <f t="shared" si="13"/>
        <v>0</v>
      </c>
      <c r="J35" s="204">
        <f t="shared" si="13"/>
        <v>0</v>
      </c>
    </row>
    <row r="36" spans="1:10" s="176" customFormat="1" ht="12" customHeight="1" x14ac:dyDescent="0.2">
      <c r="A36" s="173" t="s">
        <v>287</v>
      </c>
      <c r="B36" s="206"/>
      <c r="C36" s="206"/>
      <c r="D36" s="206"/>
      <c r="E36" s="202">
        <f t="shared" ref="E36:J36" si="14">D36</f>
        <v>0</v>
      </c>
      <c r="F36" s="202">
        <f t="shared" si="14"/>
        <v>0</v>
      </c>
      <c r="G36" s="202">
        <f t="shared" si="14"/>
        <v>0</v>
      </c>
      <c r="H36" s="202">
        <f t="shared" si="14"/>
        <v>0</v>
      </c>
      <c r="I36" s="202">
        <f t="shared" si="14"/>
        <v>0</v>
      </c>
      <c r="J36" s="202">
        <f t="shared" si="14"/>
        <v>0</v>
      </c>
    </row>
    <row r="37" spans="1:10" s="176" customFormat="1" ht="12" customHeight="1" x14ac:dyDescent="0.2">
      <c r="A37" s="175" t="s">
        <v>288</v>
      </c>
      <c r="B37" s="207"/>
      <c r="C37" s="207"/>
      <c r="D37" s="207"/>
      <c r="E37" s="208">
        <f>-'Invoer exploitatie'!E87</f>
        <v>0</v>
      </c>
      <c r="F37" s="208">
        <f>-'Invoer exploitatie'!F87</f>
        <v>0</v>
      </c>
      <c r="G37" s="208">
        <f>-'Invoer exploitatie'!G87</f>
        <v>0</v>
      </c>
      <c r="H37" s="208">
        <f>-'Invoer exploitatie'!H87</f>
        <v>0</v>
      </c>
      <c r="I37" s="208">
        <f>-'Invoer exploitatie'!I87</f>
        <v>0</v>
      </c>
      <c r="J37" s="208">
        <f>-'Invoer exploitatie'!J87</f>
        <v>0</v>
      </c>
    </row>
    <row r="38" spans="1:10" ht="12" customHeight="1" x14ac:dyDescent="0.2">
      <c r="A38" s="124" t="s">
        <v>289</v>
      </c>
      <c r="B38" s="203"/>
      <c r="C38" s="203"/>
      <c r="D38" s="203"/>
      <c r="E38" s="209">
        <f t="shared" ref="E38:J38" si="15">D38+E36+E37</f>
        <v>0</v>
      </c>
      <c r="F38" s="209">
        <f t="shared" si="15"/>
        <v>0</v>
      </c>
      <c r="G38" s="209">
        <f t="shared" si="15"/>
        <v>0</v>
      </c>
      <c r="H38" s="209">
        <f t="shared" si="15"/>
        <v>0</v>
      </c>
      <c r="I38" s="209">
        <f t="shared" si="15"/>
        <v>0</v>
      </c>
      <c r="J38" s="209">
        <f t="shared" si="15"/>
        <v>0</v>
      </c>
    </row>
    <row r="39" spans="1:10" ht="12" customHeight="1" x14ac:dyDescent="0.2">
      <c r="A39" s="124" t="s">
        <v>307</v>
      </c>
      <c r="B39" s="203"/>
      <c r="C39" s="203"/>
      <c r="D39" s="203"/>
      <c r="E39" s="202">
        <f t="shared" ref="E39:J39" si="16">D39</f>
        <v>0</v>
      </c>
      <c r="F39" s="202">
        <f t="shared" si="16"/>
        <v>0</v>
      </c>
      <c r="G39" s="202">
        <f t="shared" si="16"/>
        <v>0</v>
      </c>
      <c r="H39" s="202">
        <f t="shared" si="16"/>
        <v>0</v>
      </c>
      <c r="I39" s="202">
        <f t="shared" si="16"/>
        <v>0</v>
      </c>
      <c r="J39" s="202">
        <f t="shared" si="16"/>
        <v>0</v>
      </c>
    </row>
    <row r="40" spans="1:10" ht="12" customHeight="1" x14ac:dyDescent="0.2">
      <c r="A40" s="77" t="s">
        <v>41</v>
      </c>
      <c r="B40" s="210"/>
      <c r="C40" s="210"/>
      <c r="D40" s="210"/>
      <c r="E40" s="211">
        <f>+E16/365*'Invoer exploitatie'!E26*(1-'Invoer exploitatie'!E16)</f>
        <v>0</v>
      </c>
      <c r="F40" s="211">
        <f>+F16/365*'Invoer exploitatie'!F26*(1-'Invoer exploitatie'!F16)</f>
        <v>0</v>
      </c>
      <c r="G40" s="211">
        <f>+G16/365*'Invoer exploitatie'!G26*(1-'Invoer exploitatie'!G16)</f>
        <v>0</v>
      </c>
      <c r="H40" s="211">
        <f>+H16/365*'Invoer exploitatie'!H26*(1-'Invoer exploitatie'!H16)</f>
        <v>0</v>
      </c>
      <c r="I40" s="211">
        <f>+I16/365*'Invoer exploitatie'!I26*(1-'Invoer exploitatie'!I16)</f>
        <v>0</v>
      </c>
      <c r="J40" s="211">
        <f>+J16/365*'Invoer exploitatie'!J26*(1-'Invoer exploitatie'!J16)</f>
        <v>0</v>
      </c>
    </row>
    <row r="41" spans="1:10" ht="12" customHeight="1" x14ac:dyDescent="0.2">
      <c r="A41" s="77" t="s">
        <v>290</v>
      </c>
      <c r="B41" s="210"/>
      <c r="C41" s="210"/>
      <c r="D41" s="210"/>
      <c r="E41" s="211">
        <f>+E17/365*'Invoer exploitatie'!E26*('Invoer exploitatie'!E16)</f>
        <v>0</v>
      </c>
      <c r="F41" s="211">
        <f>+F17/365*'Invoer exploitatie'!F26*('Invoer exploitatie'!F16)</f>
        <v>0</v>
      </c>
      <c r="G41" s="211">
        <f>+G17/365*'Invoer exploitatie'!G26*('Invoer exploitatie'!G16)</f>
        <v>0</v>
      </c>
      <c r="H41" s="211">
        <f>+H17/365*'Invoer exploitatie'!H26*('Invoer exploitatie'!H16)</f>
        <v>0</v>
      </c>
      <c r="I41" s="211">
        <f>+I17/365*'Invoer exploitatie'!I26*('Invoer exploitatie'!I16)</f>
        <v>0</v>
      </c>
      <c r="J41" s="211">
        <f>+J17/365*'Invoer exploitatie'!J26*('Invoer exploitatie'!J16)</f>
        <v>0</v>
      </c>
    </row>
    <row r="42" spans="1:10" ht="12" customHeight="1" x14ac:dyDescent="0.2">
      <c r="A42" s="77" t="s">
        <v>40</v>
      </c>
      <c r="B42" s="210"/>
      <c r="C42" s="210"/>
      <c r="D42" s="210"/>
      <c r="E42" s="211">
        <f>+E18/365*'Invoer exploitatie'!E26*(1+D5)</f>
        <v>0</v>
      </c>
      <c r="F42" s="211">
        <f>+F18/365*'Invoer exploitatie'!F26*(1+$D$5)</f>
        <v>0</v>
      </c>
      <c r="G42" s="211">
        <f>+G18/365*'Invoer exploitatie'!G26*(1+$D$5)</f>
        <v>0</v>
      </c>
      <c r="H42" s="211">
        <f>+H18/365*'Invoer exploitatie'!H26*(1+$D$5)</f>
        <v>0</v>
      </c>
      <c r="I42" s="211">
        <f>+I18/365*'Invoer exploitatie'!I26*(1+$D$5)</f>
        <v>0</v>
      </c>
      <c r="J42" s="211">
        <f>+J18/365*'Invoer exploitatie'!J26*(1+$D$5)</f>
        <v>0</v>
      </c>
    </row>
    <row r="43" spans="1:10" ht="12" customHeight="1" x14ac:dyDescent="0.2">
      <c r="A43" s="77" t="s">
        <v>292</v>
      </c>
      <c r="B43" s="210"/>
      <c r="C43" s="210"/>
      <c r="D43" s="210"/>
      <c r="E43" s="203">
        <f t="shared" ref="E43:J44" si="17">D43</f>
        <v>0</v>
      </c>
      <c r="F43" s="203">
        <f t="shared" si="17"/>
        <v>0</v>
      </c>
      <c r="G43" s="203">
        <f t="shared" si="17"/>
        <v>0</v>
      </c>
      <c r="H43" s="203">
        <f t="shared" si="17"/>
        <v>0</v>
      </c>
      <c r="I43" s="203">
        <f t="shared" si="17"/>
        <v>0</v>
      </c>
      <c r="J43" s="203">
        <f t="shared" si="17"/>
        <v>0</v>
      </c>
    </row>
    <row r="44" spans="1:10" ht="12" customHeight="1" x14ac:dyDescent="0.2">
      <c r="A44" s="77" t="s">
        <v>293</v>
      </c>
      <c r="B44" s="210"/>
      <c r="C44" s="210"/>
      <c r="D44" s="210"/>
      <c r="E44" s="203">
        <f t="shared" si="17"/>
        <v>0</v>
      </c>
      <c r="F44" s="203">
        <f t="shared" si="17"/>
        <v>0</v>
      </c>
      <c r="G44" s="203">
        <f t="shared" si="17"/>
        <v>0</v>
      </c>
      <c r="H44" s="203">
        <f t="shared" si="17"/>
        <v>0</v>
      </c>
      <c r="I44" s="203">
        <f t="shared" si="17"/>
        <v>0</v>
      </c>
      <c r="J44" s="203">
        <f t="shared" si="17"/>
        <v>0</v>
      </c>
    </row>
    <row r="45" spans="1:10" ht="12" customHeight="1" x14ac:dyDescent="0.2">
      <c r="A45" s="77" t="s">
        <v>294</v>
      </c>
      <c r="B45" s="210"/>
      <c r="C45" s="210"/>
      <c r="D45" s="210"/>
      <c r="E45" s="203">
        <v>0</v>
      </c>
      <c r="F45" s="203">
        <v>0</v>
      </c>
      <c r="G45" s="203">
        <v>0</v>
      </c>
      <c r="H45" s="203">
        <v>0</v>
      </c>
      <c r="I45" s="203">
        <v>0</v>
      </c>
      <c r="J45" s="203">
        <v>0</v>
      </c>
    </row>
    <row r="46" spans="1:10" ht="12" customHeight="1" x14ac:dyDescent="0.2">
      <c r="A46" s="77" t="s">
        <v>295</v>
      </c>
      <c r="B46" s="210"/>
      <c r="C46" s="210"/>
      <c r="D46" s="210"/>
      <c r="E46" s="211">
        <f>IF(E74&lt;0,-E74,0)</f>
        <v>0</v>
      </c>
      <c r="F46" s="211">
        <f>IF(F74&lt;0,F74,0)</f>
        <v>0</v>
      </c>
      <c r="G46" s="211">
        <f>IF(G74&lt;0,G74,0)</f>
        <v>0</v>
      </c>
      <c r="H46" s="211">
        <f>IF(H74&lt;0,H74,0)</f>
        <v>0</v>
      </c>
      <c r="I46" s="211">
        <f>IF(I74&lt;0,I74,0)</f>
        <v>0</v>
      </c>
      <c r="J46" s="211">
        <f>IF(J74&lt;0,J74,0)</f>
        <v>0</v>
      </c>
    </row>
    <row r="47" spans="1:10" ht="12" customHeight="1" x14ac:dyDescent="0.2">
      <c r="A47" s="124" t="s">
        <v>203</v>
      </c>
      <c r="B47" s="210"/>
      <c r="C47" s="210"/>
      <c r="D47" s="210"/>
      <c r="E47" s="209">
        <f t="shared" ref="E47:J48" si="18">D47*(1+inflatie)</f>
        <v>0</v>
      </c>
      <c r="F47" s="209">
        <f t="shared" si="18"/>
        <v>0</v>
      </c>
      <c r="G47" s="209">
        <f t="shared" si="18"/>
        <v>0</v>
      </c>
      <c r="H47" s="209">
        <f t="shared" si="18"/>
        <v>0</v>
      </c>
      <c r="I47" s="209">
        <f t="shared" si="18"/>
        <v>0</v>
      </c>
      <c r="J47" s="209">
        <f t="shared" si="18"/>
        <v>0</v>
      </c>
    </row>
    <row r="48" spans="1:10" ht="12" customHeight="1" x14ac:dyDescent="0.2">
      <c r="A48" s="77" t="s">
        <v>39</v>
      </c>
      <c r="B48" s="212"/>
      <c r="C48" s="212"/>
      <c r="D48" s="212"/>
      <c r="E48" s="90">
        <f>D48*(1+inflatie)</f>
        <v>0</v>
      </c>
      <c r="F48" s="90">
        <f t="shared" si="18"/>
        <v>0</v>
      </c>
      <c r="G48" s="90">
        <f t="shared" si="18"/>
        <v>0</v>
      </c>
      <c r="H48" s="90">
        <f t="shared" si="18"/>
        <v>0</v>
      </c>
      <c r="I48" s="90">
        <f t="shared" si="18"/>
        <v>0</v>
      </c>
      <c r="J48" s="90">
        <f t="shared" si="18"/>
        <v>0</v>
      </c>
    </row>
    <row r="49" spans="1:12" ht="12" customHeight="1" x14ac:dyDescent="0.2">
      <c r="A49" s="124" t="s">
        <v>355</v>
      </c>
      <c r="B49" s="213"/>
      <c r="C49" s="213"/>
      <c r="D49" s="213"/>
      <c r="E49" s="214">
        <f t="shared" ref="E49:J49" si="19">-IF((E25+E29+E32+E35+SUM(E38:E48))&lt;(SUM(E52:E55)+SUM(E57:E59)+SUM(E64:E67)),(E25+E29+E32+E35+SUM(E38:E48))-SUM(E52:E55)-SUM(E57:E59)-SUM(E64:E67),0)</f>
        <v>0</v>
      </c>
      <c r="F49" s="214">
        <f t="shared" si="19"/>
        <v>0</v>
      </c>
      <c r="G49" s="214">
        <f t="shared" si="19"/>
        <v>0</v>
      </c>
      <c r="H49" s="214">
        <f t="shared" si="19"/>
        <v>0</v>
      </c>
      <c r="I49" s="214">
        <f t="shared" si="19"/>
        <v>0</v>
      </c>
      <c r="J49" s="214">
        <f t="shared" si="19"/>
        <v>0</v>
      </c>
      <c r="L49" s="88"/>
    </row>
    <row r="50" spans="1:12" s="161" customFormat="1" ht="12" customHeight="1" x14ac:dyDescent="0.2">
      <c r="A50" s="178" t="s">
        <v>204</v>
      </c>
      <c r="B50" s="215">
        <f>B25+B29+B32+B35+SUM(B38:B49)</f>
        <v>0</v>
      </c>
      <c r="C50" s="215">
        <f t="shared" ref="C50:J50" si="20">C25+C29+C32+C35+SUM(C38:C49)</f>
        <v>0</v>
      </c>
      <c r="D50" s="215">
        <f t="shared" si="20"/>
        <v>0</v>
      </c>
      <c r="E50" s="215">
        <f t="shared" si="20"/>
        <v>0</v>
      </c>
      <c r="F50" s="215">
        <f t="shared" si="20"/>
        <v>0</v>
      </c>
      <c r="G50" s="215">
        <f t="shared" si="20"/>
        <v>0</v>
      </c>
      <c r="H50" s="215">
        <f t="shared" si="20"/>
        <v>0</v>
      </c>
      <c r="I50" s="215">
        <f t="shared" si="20"/>
        <v>0</v>
      </c>
      <c r="J50" s="215">
        <f t="shared" si="20"/>
        <v>0</v>
      </c>
      <c r="L50" s="184"/>
    </row>
    <row r="51" spans="1:12" ht="12" customHeight="1" x14ac:dyDescent="0.2">
      <c r="A51" s="124"/>
      <c r="B51" s="199"/>
      <c r="C51" s="199"/>
      <c r="D51" s="199"/>
      <c r="E51" s="199"/>
      <c r="F51" s="199"/>
      <c r="G51" s="199"/>
      <c r="H51" s="199"/>
      <c r="I51" s="199"/>
      <c r="J51" s="199"/>
    </row>
    <row r="52" spans="1:12" ht="12" customHeight="1" x14ac:dyDescent="0.2">
      <c r="A52" s="124" t="s">
        <v>205</v>
      </c>
      <c r="B52" s="212"/>
      <c r="C52" s="212"/>
      <c r="D52" s="212"/>
      <c r="E52" s="209">
        <f>D52+'Invoer exploitatie'!E101</f>
        <v>0</v>
      </c>
      <c r="F52" s="209">
        <f>E52+E53+'Invoer exploitatie'!F101</f>
        <v>0</v>
      </c>
      <c r="G52" s="209">
        <f>F52+F53+'Invoer exploitatie'!G101</f>
        <v>0</v>
      </c>
      <c r="H52" s="209">
        <f>G52+G53+'Invoer exploitatie'!H101</f>
        <v>0</v>
      </c>
      <c r="I52" s="209">
        <f>H52+H53+'Invoer exploitatie'!I101</f>
        <v>0</v>
      </c>
      <c r="J52" s="209">
        <f>I52+I53+'Invoer exploitatie'!J101</f>
        <v>0</v>
      </c>
    </row>
    <row r="53" spans="1:12" ht="12" customHeight="1" x14ac:dyDescent="0.2">
      <c r="A53" s="168" t="s">
        <v>345</v>
      </c>
      <c r="B53" s="216"/>
      <c r="C53" s="216"/>
      <c r="D53" s="216"/>
      <c r="E53" s="202">
        <v>0</v>
      </c>
      <c r="F53" s="202">
        <v>0</v>
      </c>
      <c r="G53" s="202">
        <v>0</v>
      </c>
      <c r="H53" s="202">
        <v>0</v>
      </c>
      <c r="I53" s="202">
        <v>0</v>
      </c>
      <c r="J53" s="202">
        <v>0</v>
      </c>
    </row>
    <row r="54" spans="1:12" ht="12" customHeight="1" x14ac:dyDescent="0.2">
      <c r="A54" s="124" t="s">
        <v>206</v>
      </c>
      <c r="B54" s="210"/>
      <c r="C54" s="210"/>
      <c r="D54" s="210"/>
      <c r="E54" s="203">
        <v>0</v>
      </c>
      <c r="F54" s="203">
        <v>0</v>
      </c>
      <c r="G54" s="203">
        <v>0</v>
      </c>
      <c r="H54" s="203">
        <v>0</v>
      </c>
      <c r="I54" s="203">
        <v>0</v>
      </c>
      <c r="J54" s="203">
        <v>0</v>
      </c>
    </row>
    <row r="55" spans="1:12" ht="12" customHeight="1" x14ac:dyDescent="0.2">
      <c r="A55" s="122" t="s">
        <v>348</v>
      </c>
      <c r="B55" s="217"/>
      <c r="C55" s="217"/>
      <c r="D55" s="217"/>
      <c r="E55" s="203">
        <f t="shared" ref="E55:J55" si="21">D55</f>
        <v>0</v>
      </c>
      <c r="F55" s="203">
        <f t="shared" si="21"/>
        <v>0</v>
      </c>
      <c r="G55" s="203">
        <f t="shared" si="21"/>
        <v>0</v>
      </c>
      <c r="H55" s="203">
        <f t="shared" si="21"/>
        <v>0</v>
      </c>
      <c r="I55" s="203">
        <f t="shared" si="21"/>
        <v>0</v>
      </c>
      <c r="J55" s="203">
        <f t="shared" si="21"/>
        <v>0</v>
      </c>
    </row>
    <row r="56" spans="1:12" ht="12" customHeight="1" x14ac:dyDescent="0.2">
      <c r="A56" s="122" t="s">
        <v>217</v>
      </c>
      <c r="B56" s="217"/>
      <c r="C56" s="217"/>
      <c r="D56" s="217"/>
      <c r="E56" s="209">
        <f t="shared" ref="E56:J56" si="22">IF((E25+E29+E32+E35+SUM(E38:E48))&gt;(SUM(E52:E55)+SUM(E57:E59)+SUM(E64:E67)),(E25+E29+E32+E35+SUM(E38:E48))-SUM(E52:E55)-SUM(E57:E59)-SUM(E64:E67),0)</f>
        <v>0</v>
      </c>
      <c r="F56" s="209">
        <f t="shared" si="22"/>
        <v>0</v>
      </c>
      <c r="G56" s="209">
        <f t="shared" si="22"/>
        <v>0</v>
      </c>
      <c r="H56" s="209">
        <f t="shared" si="22"/>
        <v>0</v>
      </c>
      <c r="I56" s="209">
        <f t="shared" si="22"/>
        <v>0</v>
      </c>
      <c r="J56" s="209">
        <f t="shared" si="22"/>
        <v>0</v>
      </c>
    </row>
    <row r="57" spans="1:12" ht="12" customHeight="1" x14ac:dyDescent="0.2">
      <c r="A57" s="77" t="s">
        <v>42</v>
      </c>
      <c r="B57" s="210"/>
      <c r="C57" s="210"/>
      <c r="D57" s="210"/>
      <c r="E57" s="211">
        <f>+'Invoer exploitatie'!E34/365*E19*(1+$D$5)</f>
        <v>0</v>
      </c>
      <c r="F57" s="211">
        <f>+'Invoer exploitatie'!F34/365*F19*(1+$D$5)</f>
        <v>0</v>
      </c>
      <c r="G57" s="211">
        <f>+'Invoer exploitatie'!G34/365*G19*(1+$D$5)</f>
        <v>0</v>
      </c>
      <c r="H57" s="211">
        <f>+'Invoer exploitatie'!H34/365*H19*(1+$D$5)</f>
        <v>0</v>
      </c>
      <c r="I57" s="211">
        <f>+'Invoer exploitatie'!I34/365*I19*(1+$D$5)</f>
        <v>0</v>
      </c>
      <c r="J57" s="211">
        <f>+'Invoer exploitatie'!J34/365*J19*(1+$D$5)</f>
        <v>0</v>
      </c>
    </row>
    <row r="58" spans="1:12" ht="12" customHeight="1" x14ac:dyDescent="0.2">
      <c r="A58" s="77" t="s">
        <v>292</v>
      </c>
      <c r="B58" s="210"/>
      <c r="C58" s="210"/>
      <c r="D58" s="210"/>
      <c r="E58" s="203">
        <f t="shared" ref="E58:J59" si="23">D58</f>
        <v>0</v>
      </c>
      <c r="F58" s="203">
        <f t="shared" si="23"/>
        <v>0</v>
      </c>
      <c r="G58" s="203">
        <f t="shared" si="23"/>
        <v>0</v>
      </c>
      <c r="H58" s="203">
        <f t="shared" si="23"/>
        <v>0</v>
      </c>
      <c r="I58" s="203">
        <f t="shared" si="23"/>
        <v>0</v>
      </c>
      <c r="J58" s="203">
        <f t="shared" si="23"/>
        <v>0</v>
      </c>
    </row>
    <row r="59" spans="1:12" ht="12" customHeight="1" x14ac:dyDescent="0.2">
      <c r="A59" s="77" t="s">
        <v>293</v>
      </c>
      <c r="B59" s="210"/>
      <c r="C59" s="210"/>
      <c r="D59" s="210"/>
      <c r="E59" s="203">
        <f t="shared" si="23"/>
        <v>0</v>
      </c>
      <c r="F59" s="203">
        <f t="shared" si="23"/>
        <v>0</v>
      </c>
      <c r="G59" s="203">
        <f t="shared" si="23"/>
        <v>0</v>
      </c>
      <c r="H59" s="203">
        <f t="shared" si="23"/>
        <v>0</v>
      </c>
      <c r="I59" s="203">
        <f t="shared" si="23"/>
        <v>0</v>
      </c>
      <c r="J59" s="203">
        <f t="shared" si="23"/>
        <v>0</v>
      </c>
    </row>
    <row r="60" spans="1:12" s="176" customFormat="1" ht="12" customHeight="1" x14ac:dyDescent="0.2">
      <c r="A60" s="173" t="s">
        <v>296</v>
      </c>
      <c r="B60" s="218"/>
      <c r="C60" s="218"/>
      <c r="D60" s="218"/>
      <c r="E60" s="202">
        <v>0</v>
      </c>
      <c r="F60" s="202">
        <v>0</v>
      </c>
      <c r="G60" s="202">
        <v>0</v>
      </c>
      <c r="H60" s="202">
        <v>0</v>
      </c>
      <c r="I60" s="202">
        <v>0</v>
      </c>
      <c r="J60" s="202">
        <v>0</v>
      </c>
    </row>
    <row r="61" spans="1:12" s="176" customFormat="1" ht="12" customHeight="1" x14ac:dyDescent="0.2">
      <c r="A61" s="173" t="s">
        <v>297</v>
      </c>
      <c r="B61" s="218"/>
      <c r="C61" s="218"/>
      <c r="D61" s="218"/>
      <c r="E61" s="202">
        <f t="shared" ref="E61:J61" si="24">IF(E74&gt;=0,E74,0)</f>
        <v>0</v>
      </c>
      <c r="F61" s="202">
        <f t="shared" si="24"/>
        <v>0</v>
      </c>
      <c r="G61" s="202">
        <f t="shared" si="24"/>
        <v>0</v>
      </c>
      <c r="H61" s="202">
        <f t="shared" si="24"/>
        <v>0</v>
      </c>
      <c r="I61" s="202">
        <f t="shared" si="24"/>
        <v>0</v>
      </c>
      <c r="J61" s="202">
        <f t="shared" si="24"/>
        <v>0</v>
      </c>
    </row>
    <row r="62" spans="1:12" s="176" customFormat="1" ht="12" customHeight="1" x14ac:dyDescent="0.2">
      <c r="A62" s="173" t="s">
        <v>298</v>
      </c>
      <c r="B62" s="218"/>
      <c r="C62" s="218"/>
      <c r="D62" s="218"/>
      <c r="E62" s="202">
        <f>IF('Invoer exploitatie'!D$37=0,0,D62/'Invoer exploitatie'!D$37*'Invoer exploitatie'!E$37)</f>
        <v>0</v>
      </c>
      <c r="F62" s="202">
        <f>IF('Invoer exploitatie'!E37=0,0,E62/'Invoer exploitatie'!E37*'Invoer exploitatie'!F37)</f>
        <v>0</v>
      </c>
      <c r="G62" s="202">
        <f>IF('Invoer exploitatie'!F37=0,0,F62/'Invoer exploitatie'!F37*'Invoer exploitatie'!G37)</f>
        <v>0</v>
      </c>
      <c r="H62" s="202">
        <f>IF('Invoer exploitatie'!G37=0,0,G62/'Invoer exploitatie'!G37*'Invoer exploitatie'!H37)</f>
        <v>0</v>
      </c>
      <c r="I62" s="202">
        <f>IF('Invoer exploitatie'!H37=0,0,H62/'Invoer exploitatie'!H37*'Invoer exploitatie'!I37)</f>
        <v>0</v>
      </c>
      <c r="J62" s="202">
        <f>IF('Invoer exploitatie'!I37=0,0,I62/'Invoer exploitatie'!I37*'Invoer exploitatie'!J37)</f>
        <v>0</v>
      </c>
    </row>
    <row r="63" spans="1:12" s="176" customFormat="1" ht="12" customHeight="1" x14ac:dyDescent="0.2">
      <c r="A63" s="173" t="s">
        <v>299</v>
      </c>
      <c r="B63" s="219"/>
      <c r="C63" s="219"/>
      <c r="D63" s="219"/>
      <c r="E63" s="232">
        <f>IF('Invoer exploitatie'!D$37=0,0,D63/'Invoer exploitatie'!D$37*'Invoer exploitatie'!E$37)</f>
        <v>0</v>
      </c>
      <c r="F63" s="232">
        <f>IF('Invoer exploitatie'!E$37=0,0,E63/'Invoer exploitatie'!E$37*'Invoer exploitatie'!F$37)</f>
        <v>0</v>
      </c>
      <c r="G63" s="232">
        <f>IF('Invoer exploitatie'!F$37=0,0,F63/'Invoer exploitatie'!F$37*'Invoer exploitatie'!G$37)</f>
        <v>0</v>
      </c>
      <c r="H63" s="232">
        <f>IF('Invoer exploitatie'!G$37=0,0,G63/'Invoer exploitatie'!G$37*'Invoer exploitatie'!H$37)</f>
        <v>0</v>
      </c>
      <c r="I63" s="232">
        <f>IF('Invoer exploitatie'!H$37=0,0,H63/'Invoer exploitatie'!H$37*'Invoer exploitatie'!I$37)</f>
        <v>0</v>
      </c>
      <c r="J63" s="232">
        <f>IF('Invoer exploitatie'!I$37=0,0,I63/'Invoer exploitatie'!I$37*'Invoer exploitatie'!J$37)</f>
        <v>0</v>
      </c>
    </row>
    <row r="64" spans="1:12" ht="12" customHeight="1" x14ac:dyDescent="0.2">
      <c r="A64" s="77" t="s">
        <v>271</v>
      </c>
      <c r="B64" s="209">
        <f>SUM(B60:B63)</f>
        <v>0</v>
      </c>
      <c r="C64" s="209">
        <f t="shared" ref="C64:J64" si="25">SUM(C60:C63)</f>
        <v>0</v>
      </c>
      <c r="D64" s="209">
        <f t="shared" si="25"/>
        <v>0</v>
      </c>
      <c r="E64" s="209">
        <f t="shared" si="25"/>
        <v>0</v>
      </c>
      <c r="F64" s="209">
        <f t="shared" si="25"/>
        <v>0</v>
      </c>
      <c r="G64" s="209">
        <f t="shared" si="25"/>
        <v>0</v>
      </c>
      <c r="H64" s="209">
        <f t="shared" si="25"/>
        <v>0</v>
      </c>
      <c r="I64" s="209">
        <f t="shared" si="25"/>
        <v>0</v>
      </c>
      <c r="J64" s="209">
        <f t="shared" si="25"/>
        <v>0</v>
      </c>
    </row>
    <row r="65" spans="1:10" ht="12" customHeight="1" x14ac:dyDescent="0.2">
      <c r="A65" s="77" t="s">
        <v>300</v>
      </c>
      <c r="B65" s="210"/>
      <c r="C65" s="210"/>
      <c r="D65" s="210"/>
      <c r="E65" s="209">
        <f t="shared" ref="E65:J66" si="26">D65*(1+inflatie)</f>
        <v>0</v>
      </c>
      <c r="F65" s="209">
        <f t="shared" si="26"/>
        <v>0</v>
      </c>
      <c r="G65" s="209">
        <f t="shared" si="26"/>
        <v>0</v>
      </c>
      <c r="H65" s="209">
        <f t="shared" si="26"/>
        <v>0</v>
      </c>
      <c r="I65" s="209">
        <f t="shared" si="26"/>
        <v>0</v>
      </c>
      <c r="J65" s="209">
        <f t="shared" si="26"/>
        <v>0</v>
      </c>
    </row>
    <row r="66" spans="1:10" ht="12" customHeight="1" x14ac:dyDescent="0.2">
      <c r="A66" s="77" t="s">
        <v>301</v>
      </c>
      <c r="B66" s="210"/>
      <c r="C66" s="210"/>
      <c r="D66" s="210"/>
      <c r="E66" s="209">
        <f t="shared" si="26"/>
        <v>0</v>
      </c>
      <c r="F66" s="209">
        <f t="shared" si="26"/>
        <v>0</v>
      </c>
      <c r="G66" s="209">
        <f t="shared" si="26"/>
        <v>0</v>
      </c>
      <c r="H66" s="209">
        <f t="shared" si="26"/>
        <v>0</v>
      </c>
      <c r="I66" s="209">
        <f t="shared" si="26"/>
        <v>0</v>
      </c>
      <c r="J66" s="209">
        <f t="shared" si="26"/>
        <v>0</v>
      </c>
    </row>
    <row r="67" spans="1:10" ht="12" customHeight="1" x14ac:dyDescent="0.2">
      <c r="A67" s="77" t="s">
        <v>208</v>
      </c>
      <c r="B67" s="220"/>
      <c r="C67" s="220"/>
      <c r="D67" s="220"/>
      <c r="E67" s="221">
        <f t="shared" ref="E67:J67" si="27">D67*(1+inflatie)</f>
        <v>0</v>
      </c>
      <c r="F67" s="221">
        <f t="shared" si="27"/>
        <v>0</v>
      </c>
      <c r="G67" s="221">
        <f t="shared" si="27"/>
        <v>0</v>
      </c>
      <c r="H67" s="221">
        <f t="shared" si="27"/>
        <v>0</v>
      </c>
      <c r="I67" s="221">
        <f t="shared" si="27"/>
        <v>0</v>
      </c>
      <c r="J67" s="221">
        <f t="shared" si="27"/>
        <v>0</v>
      </c>
    </row>
    <row r="68" spans="1:10" s="161" customFormat="1" ht="12" customHeight="1" x14ac:dyDescent="0.2">
      <c r="A68" s="178" t="s">
        <v>209</v>
      </c>
      <c r="B68" s="215">
        <f>SUM(B52:B59)+SUM(B64:B67)</f>
        <v>0</v>
      </c>
      <c r="C68" s="215">
        <f>SUM(C52:C59)+SUM(C64:C67)</f>
        <v>0</v>
      </c>
      <c r="D68" s="215">
        <f>SUM(D52:D59)+SUM(D64:D67)</f>
        <v>0</v>
      </c>
      <c r="E68" s="215">
        <f t="shared" ref="E68:J68" si="28">SUM(E52:E59)+SUM(E64:E67)</f>
        <v>0</v>
      </c>
      <c r="F68" s="215">
        <f t="shared" si="28"/>
        <v>0</v>
      </c>
      <c r="G68" s="215">
        <f t="shared" si="28"/>
        <v>0</v>
      </c>
      <c r="H68" s="215">
        <f t="shared" si="28"/>
        <v>0</v>
      </c>
      <c r="I68" s="215">
        <f t="shared" si="28"/>
        <v>0</v>
      </c>
      <c r="J68" s="215">
        <f t="shared" si="28"/>
        <v>0</v>
      </c>
    </row>
    <row r="69" spans="1:10" ht="12" customHeight="1" x14ac:dyDescent="0.2">
      <c r="A69" s="124"/>
      <c r="B69" s="222" t="str">
        <f>IF(B50&lt;&gt;B68,"verschil","")</f>
        <v/>
      </c>
      <c r="C69" s="222" t="str">
        <f>IF(C50&lt;&gt;C68,"verschil","")</f>
        <v/>
      </c>
      <c r="D69" s="222" t="str">
        <f>IF(D50&lt;&gt;D68,"verschil","")</f>
        <v/>
      </c>
      <c r="E69" s="222" t="str">
        <f t="shared" ref="E69:J69" si="29">IF(E50&lt;&gt;E68,"verschil","")</f>
        <v/>
      </c>
      <c r="F69" s="222" t="str">
        <f t="shared" si="29"/>
        <v/>
      </c>
      <c r="G69" s="222" t="str">
        <f t="shared" si="29"/>
        <v/>
      </c>
      <c r="H69" s="222" t="str">
        <f t="shared" si="29"/>
        <v/>
      </c>
      <c r="I69" s="222" t="str">
        <f t="shared" si="29"/>
        <v/>
      </c>
      <c r="J69" s="222" t="str">
        <f t="shared" si="29"/>
        <v/>
      </c>
    </row>
    <row r="70" spans="1:10" ht="12" customHeight="1" x14ac:dyDescent="0.2">
      <c r="A70" s="77" t="s">
        <v>43</v>
      </c>
      <c r="B70" s="211">
        <f t="shared" ref="B70:J70" si="30">SUM(B40:B42)+SUM(B45:B48)-B57-SUM(B64:B67)</f>
        <v>0</v>
      </c>
      <c r="C70" s="211">
        <f t="shared" si="30"/>
        <v>0</v>
      </c>
      <c r="D70" s="211">
        <f t="shared" si="30"/>
        <v>0</v>
      </c>
      <c r="E70" s="211">
        <f t="shared" si="30"/>
        <v>0</v>
      </c>
      <c r="F70" s="211">
        <f t="shared" si="30"/>
        <v>0</v>
      </c>
      <c r="G70" s="211">
        <f t="shared" si="30"/>
        <v>0</v>
      </c>
      <c r="H70" s="211">
        <f t="shared" si="30"/>
        <v>0</v>
      </c>
      <c r="I70" s="211">
        <f t="shared" si="30"/>
        <v>0</v>
      </c>
      <c r="J70" s="211">
        <f t="shared" si="30"/>
        <v>0</v>
      </c>
    </row>
    <row r="71" spans="1:10" ht="12" customHeight="1" x14ac:dyDescent="0.2">
      <c r="A71" s="77" t="s">
        <v>317</v>
      </c>
      <c r="B71" s="209"/>
      <c r="C71" s="209">
        <f>+B70-C70</f>
        <v>0</v>
      </c>
      <c r="D71" s="209">
        <f t="shared" ref="D71:J71" si="31">+C70-D70</f>
        <v>0</v>
      </c>
      <c r="E71" s="209">
        <f t="shared" si="31"/>
        <v>0</v>
      </c>
      <c r="F71" s="209">
        <f t="shared" si="31"/>
        <v>0</v>
      </c>
      <c r="G71" s="209">
        <f t="shared" si="31"/>
        <v>0</v>
      </c>
      <c r="H71" s="209">
        <f t="shared" si="31"/>
        <v>0</v>
      </c>
      <c r="I71" s="209">
        <f t="shared" si="31"/>
        <v>0</v>
      </c>
      <c r="J71" s="209">
        <f t="shared" si="31"/>
        <v>0</v>
      </c>
    </row>
    <row r="72" spans="1:10" ht="12" customHeight="1" x14ac:dyDescent="0.2">
      <c r="A72" s="124"/>
      <c r="B72" s="223"/>
      <c r="C72" s="223"/>
      <c r="D72" s="223"/>
      <c r="E72" s="223"/>
      <c r="F72" s="223"/>
      <c r="G72" s="223"/>
      <c r="H72" s="223"/>
      <c r="I72" s="223"/>
      <c r="J72" s="223"/>
    </row>
    <row r="73" spans="1:10" ht="12" customHeight="1" x14ac:dyDescent="0.2">
      <c r="A73" s="168" t="s">
        <v>316</v>
      </c>
      <c r="B73" s="199"/>
      <c r="C73" s="199"/>
      <c r="D73" s="199"/>
      <c r="E73" s="223"/>
      <c r="F73" s="223"/>
      <c r="G73" s="223"/>
      <c r="H73" s="223"/>
      <c r="I73" s="223"/>
      <c r="J73" s="223"/>
    </row>
    <row r="74" spans="1:10" ht="12" customHeight="1" x14ac:dyDescent="0.2">
      <c r="A74" s="185" t="s">
        <v>302</v>
      </c>
      <c r="B74" s="224"/>
      <c r="C74" s="224"/>
      <c r="D74" s="224"/>
      <c r="E74" s="224">
        <f>('Invoer exploitatie'!E26-'Invoer exploitatie'!E34-SUM('Invoer exploitatie'!E43:E46)-'Invoer exploitatie'!E54-'Invoer exploitatie'!E60-'Invoer exploitatie'!E66-'Invoer exploitatie'!E74-E27-E30-E33-E36)*$D$5/E75</f>
        <v>0</v>
      </c>
      <c r="F74" s="224">
        <f>('Invoer exploitatie'!F26-'Invoer exploitatie'!F34-SUM('Invoer exploitatie'!F43:F46)-'Invoer exploitatie'!F54-'Invoer exploitatie'!F60-'Invoer exploitatie'!F66-'Invoer exploitatie'!F74-F27-F30-F33-F36)*$D$5/F75</f>
        <v>0</v>
      </c>
      <c r="G74" s="224">
        <f>('Invoer exploitatie'!G26-'Invoer exploitatie'!G34-SUM('Invoer exploitatie'!G43:G46)-'Invoer exploitatie'!G54-'Invoer exploitatie'!G60-'Invoer exploitatie'!G66-'Invoer exploitatie'!G74-G27-G30-G33-G36)*$D$5/G75</f>
        <v>0</v>
      </c>
      <c r="H74" s="224">
        <f>('Invoer exploitatie'!H26-'Invoer exploitatie'!H34-SUM('Invoer exploitatie'!H43:H46)-'Invoer exploitatie'!H54-'Invoer exploitatie'!H60-'Invoer exploitatie'!H66-'Invoer exploitatie'!H74-H27-H30-H33-H36)*$D$5/H75</f>
        <v>0</v>
      </c>
      <c r="I74" s="224">
        <f>('Invoer exploitatie'!I26-'Invoer exploitatie'!I34-SUM('Invoer exploitatie'!I43:I46)-'Invoer exploitatie'!I54-'Invoer exploitatie'!I60-'Invoer exploitatie'!I66-'Invoer exploitatie'!I74-I27-I30-I33-I36)*$D$5/I75</f>
        <v>0</v>
      </c>
      <c r="J74" s="224">
        <f>('Invoer exploitatie'!J26-'Invoer exploitatie'!J34-SUM('Invoer exploitatie'!J43:J46)-'Invoer exploitatie'!J54-'Invoer exploitatie'!J60-'Invoer exploitatie'!J66-'Invoer exploitatie'!J74-J27-J30-J33-J36)*$D$5/J75</f>
        <v>0</v>
      </c>
    </row>
    <row r="75" spans="1:10" ht="12" customHeight="1" x14ac:dyDescent="0.2">
      <c r="A75" s="185" t="s">
        <v>315</v>
      </c>
      <c r="B75" s="186"/>
      <c r="C75" s="186"/>
      <c r="D75" s="186"/>
      <c r="E75" s="165">
        <v>12</v>
      </c>
      <c r="F75" s="165">
        <f>E75</f>
        <v>12</v>
      </c>
      <c r="G75" s="165">
        <f>F75</f>
        <v>12</v>
      </c>
      <c r="H75" s="165">
        <f>G75</f>
        <v>12</v>
      </c>
      <c r="I75" s="165">
        <f>H75</f>
        <v>12</v>
      </c>
      <c r="J75" s="165">
        <f>I75</f>
        <v>12</v>
      </c>
    </row>
    <row r="76" spans="1:10" ht="12" customHeight="1" x14ac:dyDescent="0.2"/>
    <row r="77" spans="1:10" ht="12" customHeight="1" x14ac:dyDescent="0.2"/>
    <row r="78" spans="1:10" ht="12" customHeight="1" x14ac:dyDescent="0.2"/>
    <row r="79" spans="1:10" ht="12" customHeight="1" x14ac:dyDescent="0.2"/>
    <row r="80" spans="1:1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102" spans="11:256" hidden="1" x14ac:dyDescent="0.2">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c r="CC102" s="88"/>
      <c r="CD102" s="88"/>
      <c r="CE102" s="88"/>
      <c r="CF102" s="88"/>
      <c r="CG102" s="88"/>
      <c r="CH102" s="88"/>
      <c r="CI102" s="88"/>
      <c r="CJ102" s="88"/>
      <c r="CK102" s="88"/>
      <c r="CL102" s="88"/>
      <c r="CM102" s="88"/>
      <c r="CN102" s="88"/>
      <c r="CO102" s="88"/>
      <c r="CP102" s="88"/>
      <c r="CQ102" s="88"/>
      <c r="CR102" s="88"/>
      <c r="CS102" s="88"/>
      <c r="CT102" s="88"/>
      <c r="CU102" s="88"/>
      <c r="CV102" s="88"/>
      <c r="CW102" s="88"/>
      <c r="CX102" s="88"/>
      <c r="CY102" s="88"/>
      <c r="CZ102" s="88"/>
      <c r="DA102" s="88"/>
      <c r="DB102" s="88"/>
      <c r="DC102" s="88"/>
      <c r="DD102" s="88"/>
      <c r="DE102" s="88"/>
      <c r="DF102" s="88"/>
      <c r="DG102" s="88"/>
      <c r="DH102" s="88"/>
      <c r="DI102" s="88"/>
      <c r="DJ102" s="88"/>
      <c r="DK102" s="88"/>
      <c r="DL102" s="88"/>
      <c r="DM102" s="88"/>
      <c r="DN102" s="88"/>
      <c r="DO102" s="88"/>
      <c r="DP102" s="88"/>
      <c r="DQ102" s="88"/>
      <c r="DR102" s="88"/>
      <c r="DS102" s="88"/>
      <c r="DT102" s="88"/>
      <c r="DU102" s="88"/>
      <c r="DV102" s="88"/>
      <c r="DW102" s="88"/>
      <c r="DX102" s="88"/>
      <c r="DY102" s="88"/>
      <c r="DZ102" s="88"/>
      <c r="EA102" s="88"/>
      <c r="EB102" s="88"/>
      <c r="EC102" s="88"/>
      <c r="ED102" s="88"/>
      <c r="EE102" s="88"/>
      <c r="EF102" s="88"/>
      <c r="EG102" s="88"/>
      <c r="EH102" s="88"/>
      <c r="EI102" s="88"/>
      <c r="EJ102" s="88"/>
      <c r="EK102" s="88"/>
      <c r="EL102" s="88"/>
      <c r="EM102" s="88"/>
      <c r="EN102" s="88"/>
      <c r="EO102" s="88"/>
      <c r="EP102" s="88"/>
      <c r="EQ102" s="88"/>
      <c r="ER102" s="88"/>
      <c r="ES102" s="88"/>
      <c r="ET102" s="88"/>
      <c r="EU102" s="88"/>
      <c r="EV102" s="88"/>
      <c r="EW102" s="88"/>
      <c r="EX102" s="88"/>
      <c r="EY102" s="88"/>
      <c r="EZ102" s="88"/>
      <c r="FA102" s="88"/>
      <c r="FB102" s="88"/>
      <c r="FC102" s="88"/>
      <c r="FD102" s="88"/>
      <c r="FE102" s="88"/>
      <c r="FF102" s="88"/>
      <c r="FG102" s="88"/>
      <c r="FH102" s="88"/>
      <c r="FI102" s="88"/>
      <c r="FJ102" s="88"/>
      <c r="FK102" s="88"/>
      <c r="FL102" s="88"/>
      <c r="FM102" s="88"/>
      <c r="FN102" s="88"/>
      <c r="FO102" s="88"/>
      <c r="FP102" s="88"/>
      <c r="FQ102" s="88"/>
      <c r="FR102" s="88"/>
      <c r="FS102" s="88"/>
      <c r="FT102" s="88"/>
      <c r="FU102" s="88"/>
      <c r="FV102" s="88"/>
      <c r="FW102" s="88"/>
      <c r="FX102" s="88"/>
      <c r="FY102" s="88"/>
      <c r="FZ102" s="88"/>
      <c r="GA102" s="88"/>
      <c r="GB102" s="88"/>
      <c r="GC102" s="88"/>
      <c r="GD102" s="88"/>
      <c r="GE102" s="88"/>
      <c r="GF102" s="88"/>
      <c r="GG102" s="88"/>
      <c r="GH102" s="88"/>
      <c r="GI102" s="88"/>
      <c r="GJ102" s="88"/>
      <c r="GK102" s="88"/>
      <c r="GL102" s="88"/>
      <c r="GM102" s="88"/>
      <c r="GN102" s="88"/>
      <c r="GO102" s="88"/>
      <c r="GP102" s="88"/>
      <c r="GQ102" s="88"/>
      <c r="GR102" s="88"/>
      <c r="GS102" s="88"/>
      <c r="GT102" s="88"/>
      <c r="GU102" s="88"/>
      <c r="GV102" s="88"/>
      <c r="GW102" s="88"/>
      <c r="GX102" s="88"/>
      <c r="GY102" s="88"/>
      <c r="GZ102" s="88"/>
      <c r="HA102" s="88"/>
      <c r="HB102" s="88"/>
      <c r="HC102" s="88"/>
      <c r="HD102" s="88"/>
      <c r="HE102" s="88"/>
      <c r="HF102" s="88"/>
      <c r="HG102" s="88"/>
      <c r="HH102" s="88"/>
      <c r="HI102" s="88"/>
      <c r="HJ102" s="88"/>
      <c r="HK102" s="88"/>
      <c r="HL102" s="88"/>
      <c r="HM102" s="88"/>
      <c r="HN102" s="88"/>
      <c r="HO102" s="88"/>
      <c r="HP102" s="88"/>
      <c r="HQ102" s="88"/>
      <c r="HR102" s="88"/>
      <c r="HS102" s="88"/>
      <c r="HT102" s="88"/>
      <c r="HU102" s="88"/>
      <c r="HV102" s="88"/>
      <c r="HW102" s="88"/>
      <c r="HX102" s="88"/>
      <c r="HY102" s="88"/>
      <c r="HZ102" s="88"/>
      <c r="IA102" s="88"/>
      <c r="IB102" s="88"/>
      <c r="IC102" s="88"/>
      <c r="ID102" s="88"/>
      <c r="IE102" s="88"/>
      <c r="IF102" s="88"/>
      <c r="IG102" s="88"/>
      <c r="IH102" s="88"/>
      <c r="II102" s="88"/>
      <c r="IJ102" s="88"/>
      <c r="IK102" s="88"/>
      <c r="IL102" s="88"/>
      <c r="IM102" s="88"/>
      <c r="IN102" s="88"/>
      <c r="IO102" s="88"/>
      <c r="IP102" s="88"/>
      <c r="IQ102" s="88"/>
      <c r="IR102" s="88"/>
      <c r="IS102" s="88"/>
      <c r="IT102" s="88"/>
      <c r="IU102" s="88"/>
      <c r="IV102" s="88"/>
    </row>
    <row r="112" spans="11:256" hidden="1" x14ac:dyDescent="0.2">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59"/>
      <c r="BK112" s="159"/>
      <c r="BL112" s="159"/>
      <c r="BM112" s="159"/>
      <c r="BN112" s="159"/>
      <c r="BO112" s="159"/>
      <c r="BP112" s="159"/>
      <c r="BQ112" s="159"/>
      <c r="BR112" s="159"/>
      <c r="BS112" s="159"/>
      <c r="BT112" s="159"/>
      <c r="BU112" s="159"/>
      <c r="BV112" s="159"/>
      <c r="BW112" s="159"/>
      <c r="BX112" s="159"/>
      <c r="BY112" s="159"/>
      <c r="BZ112" s="159"/>
      <c r="CA112" s="159"/>
      <c r="CB112" s="159"/>
      <c r="CC112" s="159"/>
      <c r="CD112" s="159"/>
      <c r="CE112" s="159"/>
      <c r="CF112" s="159"/>
      <c r="CG112" s="159"/>
      <c r="CH112" s="159"/>
      <c r="CI112" s="159"/>
      <c r="CJ112" s="159"/>
      <c r="CK112" s="159"/>
      <c r="CL112" s="159"/>
      <c r="CM112" s="159"/>
      <c r="CN112" s="159"/>
      <c r="CO112" s="159"/>
      <c r="CP112" s="159"/>
      <c r="CQ112" s="159"/>
      <c r="CR112" s="159"/>
      <c r="CS112" s="159"/>
      <c r="CT112" s="159"/>
      <c r="CU112" s="159"/>
      <c r="CV112" s="159"/>
      <c r="CW112" s="159"/>
      <c r="CX112" s="159"/>
      <c r="CY112" s="159"/>
      <c r="CZ112" s="159"/>
      <c r="DA112" s="159"/>
      <c r="DB112" s="159"/>
      <c r="DC112" s="159"/>
      <c r="DD112" s="159"/>
      <c r="DE112" s="159"/>
      <c r="DF112" s="159"/>
      <c r="DG112" s="159"/>
      <c r="DH112" s="159"/>
      <c r="DI112" s="159"/>
      <c r="DJ112" s="159"/>
      <c r="DK112" s="159"/>
      <c r="DL112" s="159"/>
      <c r="DM112" s="159"/>
      <c r="DN112" s="159"/>
      <c r="DO112" s="159"/>
      <c r="DP112" s="159"/>
      <c r="DQ112" s="159"/>
      <c r="DR112" s="159"/>
      <c r="DS112" s="159"/>
      <c r="DT112" s="159"/>
      <c r="DU112" s="159"/>
      <c r="DV112" s="159"/>
      <c r="DW112" s="159"/>
      <c r="DX112" s="159"/>
      <c r="DY112" s="159"/>
      <c r="DZ112" s="159"/>
      <c r="EA112" s="159"/>
      <c r="EB112" s="159"/>
      <c r="EC112" s="159"/>
      <c r="ED112" s="159"/>
      <c r="EE112" s="159"/>
      <c r="EF112" s="159"/>
      <c r="EG112" s="159"/>
      <c r="EH112" s="159"/>
      <c r="EI112" s="159"/>
      <c r="EJ112" s="159"/>
      <c r="EK112" s="159"/>
      <c r="EL112" s="159"/>
      <c r="EM112" s="159"/>
      <c r="EN112" s="159"/>
      <c r="EO112" s="159"/>
      <c r="EP112" s="159"/>
      <c r="EQ112" s="159"/>
      <c r="ER112" s="159"/>
      <c r="ES112" s="159"/>
      <c r="ET112" s="159"/>
      <c r="EU112" s="159"/>
      <c r="EV112" s="159"/>
      <c r="EW112" s="159"/>
      <c r="EX112" s="159"/>
      <c r="EY112" s="159"/>
      <c r="EZ112" s="159"/>
      <c r="FA112" s="159"/>
      <c r="FB112" s="159"/>
      <c r="FC112" s="159"/>
      <c r="FD112" s="159"/>
      <c r="FE112" s="159"/>
      <c r="FF112" s="159"/>
      <c r="FG112" s="159"/>
      <c r="FH112" s="159"/>
      <c r="FI112" s="159"/>
      <c r="FJ112" s="159"/>
      <c r="FK112" s="159"/>
      <c r="FL112" s="159"/>
      <c r="FM112" s="159"/>
      <c r="FN112" s="159"/>
      <c r="FO112" s="159"/>
      <c r="FP112" s="159"/>
      <c r="FQ112" s="159"/>
      <c r="FR112" s="159"/>
      <c r="FS112" s="159"/>
      <c r="FT112" s="159"/>
      <c r="FU112" s="159"/>
      <c r="FV112" s="159"/>
      <c r="FW112" s="159"/>
      <c r="FX112" s="159"/>
      <c r="FY112" s="159"/>
      <c r="FZ112" s="159"/>
      <c r="GA112" s="159"/>
      <c r="GB112" s="159"/>
      <c r="GC112" s="159"/>
      <c r="GD112" s="159"/>
      <c r="GE112" s="159"/>
      <c r="GF112" s="159"/>
      <c r="GG112" s="159"/>
      <c r="GH112" s="159"/>
      <c r="GI112" s="159"/>
      <c r="GJ112" s="159"/>
      <c r="GK112" s="159"/>
      <c r="GL112" s="159"/>
      <c r="GM112" s="159"/>
      <c r="GN112" s="159"/>
      <c r="GO112" s="159"/>
      <c r="GP112" s="159"/>
      <c r="GQ112" s="159"/>
      <c r="GR112" s="159"/>
      <c r="GS112" s="159"/>
      <c r="GT112" s="159"/>
      <c r="GU112" s="159"/>
      <c r="GV112" s="159"/>
      <c r="GW112" s="159"/>
      <c r="GX112" s="159"/>
      <c r="GY112" s="159"/>
      <c r="GZ112" s="159"/>
      <c r="HA112" s="159"/>
      <c r="HB112" s="159"/>
      <c r="HC112" s="159"/>
      <c r="HD112" s="159"/>
      <c r="HE112" s="159"/>
      <c r="HF112" s="159"/>
      <c r="HG112" s="159"/>
      <c r="HH112" s="159"/>
      <c r="HI112" s="159"/>
      <c r="HJ112" s="159"/>
      <c r="HK112" s="159"/>
      <c r="HL112" s="159"/>
      <c r="HM112" s="159"/>
      <c r="HN112" s="159"/>
      <c r="HO112" s="159"/>
      <c r="HP112" s="159"/>
      <c r="HQ112" s="159"/>
      <c r="HR112" s="159"/>
      <c r="HS112" s="159"/>
      <c r="HT112" s="159"/>
      <c r="HU112" s="159"/>
      <c r="HV112" s="159"/>
      <c r="HW112" s="159"/>
      <c r="HX112" s="159"/>
      <c r="HY112" s="159"/>
      <c r="HZ112" s="159"/>
      <c r="IA112" s="159"/>
      <c r="IB112" s="159"/>
      <c r="IC112" s="159"/>
      <c r="ID112" s="159"/>
      <c r="IE112" s="159"/>
      <c r="IF112" s="159"/>
      <c r="IG112" s="159"/>
      <c r="IH112" s="159"/>
      <c r="II112" s="159"/>
      <c r="IJ112" s="159"/>
      <c r="IK112" s="159"/>
      <c r="IL112" s="159"/>
      <c r="IM112" s="159"/>
      <c r="IN112" s="159"/>
      <c r="IO112" s="159"/>
      <c r="IP112" s="159"/>
      <c r="IQ112" s="159"/>
      <c r="IR112" s="159"/>
      <c r="IS112" s="159"/>
      <c r="IT112" s="159"/>
      <c r="IU112" s="159"/>
      <c r="IV112" s="159"/>
    </row>
    <row r="113" spans="6:256" hidden="1" x14ac:dyDescent="0.2">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59"/>
      <c r="BK113" s="159"/>
      <c r="BL113" s="159"/>
      <c r="BM113" s="159"/>
      <c r="BN113" s="159"/>
      <c r="BO113" s="159"/>
      <c r="BP113" s="159"/>
      <c r="BQ113" s="159"/>
      <c r="BR113" s="159"/>
      <c r="BS113" s="159"/>
      <c r="BT113" s="159"/>
      <c r="BU113" s="159"/>
      <c r="BV113" s="159"/>
      <c r="BW113" s="159"/>
      <c r="BX113" s="159"/>
      <c r="BY113" s="159"/>
      <c r="BZ113" s="159"/>
      <c r="CA113" s="159"/>
      <c r="CB113" s="159"/>
      <c r="CC113" s="159"/>
      <c r="CD113" s="159"/>
      <c r="CE113" s="159"/>
      <c r="CF113" s="159"/>
      <c r="CG113" s="159"/>
      <c r="CH113" s="159"/>
      <c r="CI113" s="159"/>
      <c r="CJ113" s="159"/>
      <c r="CK113" s="159"/>
      <c r="CL113" s="159"/>
      <c r="CM113" s="159"/>
      <c r="CN113" s="159"/>
      <c r="CO113" s="159"/>
      <c r="CP113" s="159"/>
      <c r="CQ113" s="159"/>
      <c r="CR113" s="159"/>
      <c r="CS113" s="159"/>
      <c r="CT113" s="159"/>
      <c r="CU113" s="159"/>
      <c r="CV113" s="159"/>
      <c r="CW113" s="159"/>
      <c r="CX113" s="159"/>
      <c r="CY113" s="159"/>
      <c r="CZ113" s="159"/>
      <c r="DA113" s="159"/>
      <c r="DB113" s="159"/>
      <c r="DC113" s="159"/>
      <c r="DD113" s="159"/>
      <c r="DE113" s="159"/>
      <c r="DF113" s="159"/>
      <c r="DG113" s="159"/>
      <c r="DH113" s="159"/>
      <c r="DI113" s="159"/>
      <c r="DJ113" s="159"/>
      <c r="DK113" s="159"/>
      <c r="DL113" s="159"/>
      <c r="DM113" s="159"/>
      <c r="DN113" s="159"/>
      <c r="DO113" s="159"/>
      <c r="DP113" s="159"/>
      <c r="DQ113" s="159"/>
      <c r="DR113" s="159"/>
      <c r="DS113" s="159"/>
      <c r="DT113" s="159"/>
      <c r="DU113" s="159"/>
      <c r="DV113" s="159"/>
      <c r="DW113" s="159"/>
      <c r="DX113" s="159"/>
      <c r="DY113" s="159"/>
      <c r="DZ113" s="159"/>
      <c r="EA113" s="159"/>
      <c r="EB113" s="159"/>
      <c r="EC113" s="159"/>
      <c r="ED113" s="159"/>
      <c r="EE113" s="159"/>
      <c r="EF113" s="159"/>
      <c r="EG113" s="159"/>
      <c r="EH113" s="159"/>
      <c r="EI113" s="159"/>
      <c r="EJ113" s="159"/>
      <c r="EK113" s="159"/>
      <c r="EL113" s="159"/>
      <c r="EM113" s="159"/>
      <c r="EN113" s="159"/>
      <c r="EO113" s="159"/>
      <c r="EP113" s="159"/>
      <c r="EQ113" s="159"/>
      <c r="ER113" s="159"/>
      <c r="ES113" s="159"/>
      <c r="ET113" s="159"/>
      <c r="EU113" s="159"/>
      <c r="EV113" s="159"/>
      <c r="EW113" s="159"/>
      <c r="EX113" s="159"/>
      <c r="EY113" s="159"/>
      <c r="EZ113" s="159"/>
      <c r="FA113" s="159"/>
      <c r="FB113" s="159"/>
      <c r="FC113" s="159"/>
      <c r="FD113" s="159"/>
      <c r="FE113" s="159"/>
      <c r="FF113" s="159"/>
      <c r="FG113" s="159"/>
      <c r="FH113" s="159"/>
      <c r="FI113" s="159"/>
      <c r="FJ113" s="159"/>
      <c r="FK113" s="159"/>
      <c r="FL113" s="159"/>
      <c r="FM113" s="159"/>
      <c r="FN113" s="159"/>
      <c r="FO113" s="159"/>
      <c r="FP113" s="159"/>
      <c r="FQ113" s="159"/>
      <c r="FR113" s="159"/>
      <c r="FS113" s="159"/>
      <c r="FT113" s="159"/>
      <c r="FU113" s="159"/>
      <c r="FV113" s="159"/>
      <c r="FW113" s="159"/>
      <c r="FX113" s="159"/>
      <c r="FY113" s="159"/>
      <c r="FZ113" s="159"/>
      <c r="GA113" s="159"/>
      <c r="GB113" s="159"/>
      <c r="GC113" s="159"/>
      <c r="GD113" s="159"/>
      <c r="GE113" s="159"/>
      <c r="GF113" s="159"/>
      <c r="GG113" s="159"/>
      <c r="GH113" s="159"/>
      <c r="GI113" s="159"/>
      <c r="GJ113" s="159"/>
      <c r="GK113" s="159"/>
      <c r="GL113" s="159"/>
      <c r="GM113" s="159"/>
      <c r="GN113" s="159"/>
      <c r="GO113" s="159"/>
      <c r="GP113" s="159"/>
      <c r="GQ113" s="159"/>
      <c r="GR113" s="159"/>
      <c r="GS113" s="159"/>
      <c r="GT113" s="159"/>
      <c r="GU113" s="159"/>
      <c r="GV113" s="159"/>
      <c r="GW113" s="159"/>
      <c r="GX113" s="159"/>
      <c r="GY113" s="159"/>
      <c r="GZ113" s="159"/>
      <c r="HA113" s="159"/>
      <c r="HB113" s="159"/>
      <c r="HC113" s="159"/>
      <c r="HD113" s="159"/>
      <c r="HE113" s="159"/>
      <c r="HF113" s="159"/>
      <c r="HG113" s="159"/>
      <c r="HH113" s="159"/>
      <c r="HI113" s="159"/>
      <c r="HJ113" s="159"/>
      <c r="HK113" s="159"/>
      <c r="HL113" s="159"/>
      <c r="HM113" s="159"/>
      <c r="HN113" s="159"/>
      <c r="HO113" s="159"/>
      <c r="HP113" s="159"/>
      <c r="HQ113" s="159"/>
      <c r="HR113" s="159"/>
      <c r="HS113" s="159"/>
      <c r="HT113" s="159"/>
      <c r="HU113" s="159"/>
      <c r="HV113" s="159"/>
      <c r="HW113" s="159"/>
      <c r="HX113" s="159"/>
      <c r="HY113" s="159"/>
      <c r="HZ113" s="159"/>
      <c r="IA113" s="159"/>
      <c r="IB113" s="159"/>
      <c r="IC113" s="159"/>
      <c r="ID113" s="159"/>
      <c r="IE113" s="159"/>
      <c r="IF113" s="159"/>
      <c r="IG113" s="159"/>
      <c r="IH113" s="159"/>
      <c r="II113" s="159"/>
      <c r="IJ113" s="159"/>
      <c r="IK113" s="159"/>
      <c r="IL113" s="159"/>
      <c r="IM113" s="159"/>
      <c r="IN113" s="159"/>
      <c r="IO113" s="159"/>
      <c r="IP113" s="159"/>
      <c r="IQ113" s="159"/>
      <c r="IR113" s="159"/>
      <c r="IS113" s="159"/>
      <c r="IT113" s="159"/>
      <c r="IU113" s="159"/>
      <c r="IV113" s="159"/>
    </row>
    <row r="119" spans="6:256" hidden="1" x14ac:dyDescent="0.2">
      <c r="F119" s="128"/>
      <c r="G119" s="128"/>
      <c r="H119" s="128"/>
      <c r="I119" s="128"/>
      <c r="J119" s="128"/>
    </row>
  </sheetData>
  <sheetProtection sheet="1" objects="1" scenarios="1"/>
  <dataValidations count="1">
    <dataValidation type="list" allowBlank="1" showInputMessage="1" showErrorMessage="1" sqref="D4" xr:uid="{00000000-0002-0000-0100-000000000000}">
      <formula1>"x 1,x 1.000"</formula1>
    </dataValidation>
  </dataValidations>
  <pageMargins left="0.70866141732283472" right="0.70866141732283472" top="0.74803149606299213" bottom="0.74803149606299213" header="0.31496062992125984" footer="0.31496062992125984"/>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IV120"/>
  <sheetViews>
    <sheetView showGridLines="0" zoomScale="90" zoomScaleNormal="90" zoomScaleSheetLayoutView="130" workbookViewId="0">
      <pane ySplit="19" topLeftCell="A20" activePane="bottomLeft" state="frozen"/>
      <selection pane="bottomLeft" activeCell="E7" sqref="E7"/>
    </sheetView>
  </sheetViews>
  <sheetFormatPr defaultColWidth="0" defaultRowHeight="11.25" zeroHeight="1" x14ac:dyDescent="0.2"/>
  <cols>
    <col min="1" max="1" width="35.7109375" style="78" bestFit="1" customWidth="1"/>
    <col min="2" max="10" width="8.85546875" style="78" customWidth="1"/>
    <col min="11" max="11" width="2" style="78" customWidth="1"/>
    <col min="12" max="16384" width="0" style="78" hidden="1"/>
  </cols>
  <sheetData>
    <row r="1" spans="1:12" s="155" customFormat="1" ht="13.9" customHeight="1" x14ac:dyDescent="0.2">
      <c r="A1" s="153" t="s">
        <v>372</v>
      </c>
      <c r="B1" s="153"/>
      <c r="C1" s="153"/>
      <c r="D1" s="153"/>
      <c r="E1" s="154"/>
      <c r="F1" s="154"/>
      <c r="G1" s="154"/>
      <c r="H1" s="154"/>
      <c r="I1" s="154"/>
      <c r="J1" s="154"/>
      <c r="K1" s="154"/>
    </row>
    <row r="2" spans="1:12" ht="12" customHeight="1" x14ac:dyDescent="0.2">
      <c r="A2" s="145" t="s">
        <v>232</v>
      </c>
      <c r="B2" s="117">
        <f>C2-1</f>
        <v>2018</v>
      </c>
      <c r="C2" s="117">
        <f>D2-1</f>
        <v>2019</v>
      </c>
      <c r="D2" s="83">
        <f>'Invoer algemeen en balans'!D15</f>
        <v>2020</v>
      </c>
      <c r="E2" s="117">
        <f t="shared" ref="E2:J2" si="0">D2+1</f>
        <v>2021</v>
      </c>
      <c r="F2" s="117">
        <f t="shared" si="0"/>
        <v>2022</v>
      </c>
      <c r="G2" s="117">
        <f t="shared" si="0"/>
        <v>2023</v>
      </c>
      <c r="H2" s="117">
        <f t="shared" si="0"/>
        <v>2024</v>
      </c>
      <c r="I2" s="117">
        <f t="shared" si="0"/>
        <v>2025</v>
      </c>
      <c r="J2" s="117">
        <f t="shared" si="0"/>
        <v>2026</v>
      </c>
    </row>
    <row r="3" spans="1:12" ht="12" customHeight="1" x14ac:dyDescent="0.2">
      <c r="A3" s="130" t="s">
        <v>265</v>
      </c>
      <c r="B3" s="118"/>
      <c r="C3" s="118"/>
      <c r="D3" s="149"/>
      <c r="E3" s="131">
        <f>'Invoer algemeen en balans'!inflatie</f>
        <v>0.02</v>
      </c>
      <c r="F3" s="131">
        <f>E3</f>
        <v>0.02</v>
      </c>
      <c r="G3" s="131">
        <f>F3</f>
        <v>0.02</v>
      </c>
      <c r="H3" s="131">
        <f>G3</f>
        <v>0.02</v>
      </c>
      <c r="I3" s="131">
        <f>H3</f>
        <v>0.02</v>
      </c>
      <c r="J3" s="131">
        <f>I3</f>
        <v>0.02</v>
      </c>
    </row>
    <row r="4" spans="1:12" ht="12" customHeight="1" x14ac:dyDescent="0.2">
      <c r="A4" s="130"/>
      <c r="B4" s="118"/>
      <c r="C4" s="118"/>
      <c r="D4" s="149"/>
      <c r="E4" s="157"/>
      <c r="F4" s="157"/>
      <c r="G4" s="157"/>
      <c r="H4" s="157"/>
      <c r="I4" s="157"/>
      <c r="J4" s="157"/>
    </row>
    <row r="5" spans="1:12" ht="12" customHeight="1" x14ac:dyDescent="0.2">
      <c r="A5" s="123" t="str">
        <f>"Groei "&amp;A21</f>
        <v>Groei Omzetgroep 1</v>
      </c>
      <c r="B5" s="123"/>
      <c r="C5" s="158" t="str">
        <f>IF(B21=0,"",C21/B21-1)</f>
        <v/>
      </c>
      <c r="D5" s="158" t="str">
        <f>IF(C21=0,"",D21/C21-1)</f>
        <v/>
      </c>
      <c r="E5" s="150">
        <f t="shared" ref="E5:J9" si="1">E$3</f>
        <v>0.02</v>
      </c>
      <c r="F5" s="150">
        <f t="shared" si="1"/>
        <v>0.02</v>
      </c>
      <c r="G5" s="150">
        <f t="shared" si="1"/>
        <v>0.02</v>
      </c>
      <c r="H5" s="150">
        <f t="shared" si="1"/>
        <v>0.02</v>
      </c>
      <c r="I5" s="150">
        <f t="shared" si="1"/>
        <v>0.02</v>
      </c>
      <c r="J5" s="150">
        <f t="shared" si="1"/>
        <v>0.02</v>
      </c>
    </row>
    <row r="6" spans="1:12" ht="12" customHeight="1" x14ac:dyDescent="0.2">
      <c r="A6" s="123" t="str">
        <f>"Groei "&amp;A22</f>
        <v>Groei Omzetgroep 2</v>
      </c>
      <c r="B6" s="123"/>
      <c r="C6" s="158" t="str">
        <f t="shared" ref="C6:D9" si="2">IF(C22=0,"",C22/B22-1)</f>
        <v/>
      </c>
      <c r="D6" s="158" t="str">
        <f t="shared" si="2"/>
        <v/>
      </c>
      <c r="E6" s="150">
        <f t="shared" si="1"/>
        <v>0.02</v>
      </c>
      <c r="F6" s="150">
        <f t="shared" si="1"/>
        <v>0.02</v>
      </c>
      <c r="G6" s="150">
        <f t="shared" si="1"/>
        <v>0.02</v>
      </c>
      <c r="H6" s="150">
        <f t="shared" si="1"/>
        <v>0.02</v>
      </c>
      <c r="I6" s="150">
        <f t="shared" si="1"/>
        <v>0.02</v>
      </c>
      <c r="J6" s="150">
        <f t="shared" si="1"/>
        <v>0.02</v>
      </c>
    </row>
    <row r="7" spans="1:12" ht="12" customHeight="1" x14ac:dyDescent="0.2">
      <c r="A7" s="123" t="str">
        <f>"Groei "&amp;A23</f>
        <v>Groei Omzetgroep 3</v>
      </c>
      <c r="B7" s="123"/>
      <c r="C7" s="158" t="str">
        <f t="shared" si="2"/>
        <v/>
      </c>
      <c r="D7" s="158" t="str">
        <f t="shared" si="2"/>
        <v/>
      </c>
      <c r="E7" s="150">
        <f t="shared" si="1"/>
        <v>0.02</v>
      </c>
      <c r="F7" s="150">
        <f t="shared" si="1"/>
        <v>0.02</v>
      </c>
      <c r="G7" s="150">
        <f t="shared" si="1"/>
        <v>0.02</v>
      </c>
      <c r="H7" s="150">
        <f t="shared" si="1"/>
        <v>0.02</v>
      </c>
      <c r="I7" s="150">
        <f t="shared" si="1"/>
        <v>0.02</v>
      </c>
      <c r="J7" s="150">
        <f t="shared" si="1"/>
        <v>0.02</v>
      </c>
    </row>
    <row r="8" spans="1:12" ht="12" customHeight="1" x14ac:dyDescent="0.2">
      <c r="A8" s="123" t="str">
        <f>"Groei "&amp;A24</f>
        <v>Groei Omzetgroep 4</v>
      </c>
      <c r="B8" s="123"/>
      <c r="C8" s="158" t="str">
        <f t="shared" si="2"/>
        <v/>
      </c>
      <c r="D8" s="158" t="str">
        <f t="shared" si="2"/>
        <v/>
      </c>
      <c r="E8" s="150">
        <f t="shared" si="1"/>
        <v>0.02</v>
      </c>
      <c r="F8" s="150">
        <f t="shared" si="1"/>
        <v>0.02</v>
      </c>
      <c r="G8" s="150">
        <f t="shared" si="1"/>
        <v>0.02</v>
      </c>
      <c r="H8" s="150">
        <f t="shared" si="1"/>
        <v>0.02</v>
      </c>
      <c r="I8" s="150">
        <f t="shared" si="1"/>
        <v>0.02</v>
      </c>
      <c r="J8" s="150">
        <f t="shared" si="1"/>
        <v>0.02</v>
      </c>
    </row>
    <row r="9" spans="1:12" ht="12" customHeight="1" x14ac:dyDescent="0.2">
      <c r="A9" s="123" t="str">
        <f>"Groei "&amp;A25</f>
        <v>Groei Omzetgroep 5</v>
      </c>
      <c r="B9" s="123"/>
      <c r="C9" s="158" t="str">
        <f t="shared" si="2"/>
        <v/>
      </c>
      <c r="D9" s="158" t="str">
        <f t="shared" si="2"/>
        <v/>
      </c>
      <c r="E9" s="150">
        <f t="shared" si="1"/>
        <v>0.02</v>
      </c>
      <c r="F9" s="150">
        <f t="shared" si="1"/>
        <v>0.02</v>
      </c>
      <c r="G9" s="150">
        <f t="shared" si="1"/>
        <v>0.02</v>
      </c>
      <c r="H9" s="150">
        <f t="shared" si="1"/>
        <v>0.02</v>
      </c>
      <c r="I9" s="150">
        <f t="shared" si="1"/>
        <v>0.02</v>
      </c>
      <c r="J9" s="150">
        <f t="shared" si="1"/>
        <v>0.02</v>
      </c>
    </row>
    <row r="10" spans="1:12" ht="12" customHeight="1" x14ac:dyDescent="0.2">
      <c r="A10" s="169" t="s">
        <v>30</v>
      </c>
      <c r="B10" s="169"/>
      <c r="C10" s="170" t="str">
        <f>IF(ISERROR(C26/B26-1),"",C26/B26-1)</f>
        <v/>
      </c>
      <c r="D10" s="170" t="str">
        <f>IF(ISERROR(D26/C26-1),"",D26/C26-1)</f>
        <v/>
      </c>
      <c r="E10" s="170" t="str">
        <f t="shared" ref="E10:J10" si="3">IF(ISERROR(E26/D26-1),"",E26/D26-1)</f>
        <v/>
      </c>
      <c r="F10" s="170" t="str">
        <f t="shared" si="3"/>
        <v/>
      </c>
      <c r="G10" s="170" t="str">
        <f t="shared" si="3"/>
        <v/>
      </c>
      <c r="H10" s="170" t="str">
        <f t="shared" si="3"/>
        <v/>
      </c>
      <c r="I10" s="170" t="str">
        <f t="shared" si="3"/>
        <v/>
      </c>
      <c r="J10" s="170" t="str">
        <f t="shared" si="3"/>
        <v/>
      </c>
    </row>
    <row r="11" spans="1:12" ht="12" customHeight="1" x14ac:dyDescent="0.2">
      <c r="A11" s="148" t="str">
        <f>"Brutomarge "&amp;A21</f>
        <v>Brutomarge Omzetgroep 1</v>
      </c>
      <c r="B11" s="151" t="str">
        <f t="shared" ref="B11:C14" si="4">IF(B21=0,"",1-(B27/B21))</f>
        <v/>
      </c>
      <c r="C11" s="151" t="str">
        <f t="shared" si="4"/>
        <v/>
      </c>
      <c r="D11" s="151" t="str">
        <f>IF(D21=0,"",IF(D27="","",1-(D27/D21)))</f>
        <v/>
      </c>
      <c r="E11" s="150" t="str">
        <f>IF(D11="","",D11)</f>
        <v/>
      </c>
      <c r="F11" s="150" t="str">
        <f t="shared" ref="F11:J15" si="5">+E11</f>
        <v/>
      </c>
      <c r="G11" s="150" t="str">
        <f t="shared" si="5"/>
        <v/>
      </c>
      <c r="H11" s="150" t="str">
        <f t="shared" si="5"/>
        <v/>
      </c>
      <c r="I11" s="150" t="str">
        <f t="shared" si="5"/>
        <v/>
      </c>
      <c r="J11" s="150" t="str">
        <f t="shared" si="5"/>
        <v/>
      </c>
    </row>
    <row r="12" spans="1:12" ht="12" customHeight="1" x14ac:dyDescent="0.2">
      <c r="A12" s="148" t="str">
        <f>"Brutomarge "&amp;A22</f>
        <v>Brutomarge Omzetgroep 2</v>
      </c>
      <c r="B12" s="151" t="str">
        <f t="shared" si="4"/>
        <v/>
      </c>
      <c r="C12" s="151" t="str">
        <f t="shared" si="4"/>
        <v/>
      </c>
      <c r="D12" s="151" t="str">
        <f>IF(D22=0,"",IF(D28="","",1-(D28/D22)))</f>
        <v/>
      </c>
      <c r="E12" s="150" t="str">
        <f>IF(D12="","",D12)</f>
        <v/>
      </c>
      <c r="F12" s="150" t="str">
        <f t="shared" si="5"/>
        <v/>
      </c>
      <c r="G12" s="150" t="str">
        <f t="shared" si="5"/>
        <v/>
      </c>
      <c r="H12" s="150" t="str">
        <f t="shared" si="5"/>
        <v/>
      </c>
      <c r="I12" s="150" t="str">
        <f t="shared" si="5"/>
        <v/>
      </c>
      <c r="J12" s="150" t="str">
        <f t="shared" si="5"/>
        <v/>
      </c>
      <c r="L12" s="160"/>
    </row>
    <row r="13" spans="1:12" ht="12" customHeight="1" x14ac:dyDescent="0.2">
      <c r="A13" s="148" t="str">
        <f>"Brutomarge "&amp;A23</f>
        <v>Brutomarge Omzetgroep 3</v>
      </c>
      <c r="B13" s="151" t="str">
        <f t="shared" si="4"/>
        <v/>
      </c>
      <c r="C13" s="151" t="str">
        <f t="shared" si="4"/>
        <v/>
      </c>
      <c r="D13" s="151" t="str">
        <f>IF(D23=0,"",IF(D29="","",1-(D29/D23)))</f>
        <v/>
      </c>
      <c r="E13" s="150" t="str">
        <f>IF(D13="","",D13)</f>
        <v/>
      </c>
      <c r="F13" s="150" t="str">
        <f t="shared" si="5"/>
        <v/>
      </c>
      <c r="G13" s="150" t="str">
        <f t="shared" si="5"/>
        <v/>
      </c>
      <c r="H13" s="150" t="str">
        <f t="shared" si="5"/>
        <v/>
      </c>
      <c r="I13" s="150" t="str">
        <f t="shared" si="5"/>
        <v/>
      </c>
      <c r="J13" s="150" t="str">
        <f t="shared" si="5"/>
        <v/>
      </c>
    </row>
    <row r="14" spans="1:12" ht="12" customHeight="1" x14ac:dyDescent="0.2">
      <c r="A14" s="148" t="str">
        <f>"Brutomarge "&amp;A24</f>
        <v>Brutomarge Omzetgroep 4</v>
      </c>
      <c r="B14" s="151" t="str">
        <f t="shared" si="4"/>
        <v/>
      </c>
      <c r="C14" s="151" t="str">
        <f t="shared" si="4"/>
        <v/>
      </c>
      <c r="D14" s="151" t="str">
        <f>IF(D24=0,"",IF(D30="","",1-(D30/D24)))</f>
        <v/>
      </c>
      <c r="E14" s="150" t="str">
        <f>IF(D14="","",D14)</f>
        <v/>
      </c>
      <c r="F14" s="150" t="str">
        <f t="shared" si="5"/>
        <v/>
      </c>
      <c r="G14" s="150" t="str">
        <f t="shared" si="5"/>
        <v/>
      </c>
      <c r="H14" s="150" t="str">
        <f t="shared" si="5"/>
        <v/>
      </c>
      <c r="I14" s="150" t="str">
        <f t="shared" si="5"/>
        <v/>
      </c>
      <c r="J14" s="150" t="str">
        <f t="shared" si="5"/>
        <v/>
      </c>
    </row>
    <row r="15" spans="1:12" ht="12" customHeight="1" x14ac:dyDescent="0.2">
      <c r="A15" s="148" t="str">
        <f>"Brutomarge "&amp;A25</f>
        <v>Brutomarge Omzetgroep 5</v>
      </c>
      <c r="B15" s="151" t="str">
        <f>IF(B25=0,"",1-(B32/B25))</f>
        <v/>
      </c>
      <c r="C15" s="151" t="str">
        <f>IF(C25=0,"",1-(C32/C25))</f>
        <v/>
      </c>
      <c r="D15" s="151" t="str">
        <f>IF(D25=0,"",IF(D31="","",1-(D31/D25)))</f>
        <v/>
      </c>
      <c r="E15" s="150" t="str">
        <f>IF(D15="","",D15)</f>
        <v/>
      </c>
      <c r="F15" s="150" t="str">
        <f t="shared" si="5"/>
        <v/>
      </c>
      <c r="G15" s="150" t="str">
        <f t="shared" si="5"/>
        <v/>
      </c>
      <c r="H15" s="150" t="str">
        <f t="shared" si="5"/>
        <v/>
      </c>
      <c r="I15" s="150" t="str">
        <f t="shared" si="5"/>
        <v/>
      </c>
      <c r="J15" s="150" t="str">
        <f t="shared" si="5"/>
        <v/>
      </c>
    </row>
    <row r="16" spans="1:12" ht="12" customHeight="1" x14ac:dyDescent="0.2">
      <c r="A16" s="152" t="s">
        <v>31</v>
      </c>
      <c r="B16" s="171">
        <f t="shared" ref="B16:J16" si="6">IF(B26=0,0,1-(B34/B26))</f>
        <v>0</v>
      </c>
      <c r="C16" s="171">
        <f t="shared" si="6"/>
        <v>0</v>
      </c>
      <c r="D16" s="171">
        <f t="shared" si="6"/>
        <v>0</v>
      </c>
      <c r="E16" s="171">
        <f t="shared" si="6"/>
        <v>0</v>
      </c>
      <c r="F16" s="171">
        <f t="shared" si="6"/>
        <v>0</v>
      </c>
      <c r="G16" s="171">
        <f t="shared" si="6"/>
        <v>0</v>
      </c>
      <c r="H16" s="171">
        <f t="shared" si="6"/>
        <v>0</v>
      </c>
      <c r="I16" s="171">
        <f t="shared" si="6"/>
        <v>0</v>
      </c>
      <c r="J16" s="171">
        <f t="shared" si="6"/>
        <v>0</v>
      </c>
    </row>
    <row r="17" spans="1:10" ht="12" customHeight="1" x14ac:dyDescent="0.2">
      <c r="A17" s="130" t="s">
        <v>32</v>
      </c>
      <c r="B17" s="132">
        <f t="shared" ref="B17:J17" si="7">IF(B26=0,0,B78/B26)</f>
        <v>0</v>
      </c>
      <c r="C17" s="132">
        <f t="shared" si="7"/>
        <v>0</v>
      </c>
      <c r="D17" s="132">
        <f t="shared" si="7"/>
        <v>0</v>
      </c>
      <c r="E17" s="132">
        <f t="shared" si="7"/>
        <v>0</v>
      </c>
      <c r="F17" s="132">
        <f t="shared" si="7"/>
        <v>0</v>
      </c>
      <c r="G17" s="132">
        <f t="shared" si="7"/>
        <v>0</v>
      </c>
      <c r="H17" s="132">
        <f t="shared" si="7"/>
        <v>0</v>
      </c>
      <c r="I17" s="132">
        <f t="shared" si="7"/>
        <v>0</v>
      </c>
      <c r="J17" s="132">
        <f t="shared" si="7"/>
        <v>0</v>
      </c>
    </row>
    <row r="18" spans="1:10" ht="12" customHeight="1" x14ac:dyDescent="0.2">
      <c r="A18" s="78" t="s">
        <v>222</v>
      </c>
      <c r="B18" s="159">
        <f t="shared" ref="B18:J18" si="8">IF(B26=0,0,B80/B26)</f>
        <v>0</v>
      </c>
      <c r="C18" s="159">
        <f t="shared" si="8"/>
        <v>0</v>
      </c>
      <c r="D18" s="159">
        <f t="shared" si="8"/>
        <v>0</v>
      </c>
      <c r="E18" s="159">
        <f t="shared" si="8"/>
        <v>0</v>
      </c>
      <c r="F18" s="159">
        <f t="shared" si="8"/>
        <v>0</v>
      </c>
      <c r="G18" s="159">
        <f t="shared" si="8"/>
        <v>0</v>
      </c>
      <c r="H18" s="159">
        <f t="shared" si="8"/>
        <v>0</v>
      </c>
      <c r="I18" s="159">
        <f t="shared" si="8"/>
        <v>0</v>
      </c>
      <c r="J18" s="159">
        <f t="shared" si="8"/>
        <v>0</v>
      </c>
    </row>
    <row r="19" spans="1:10" ht="12" customHeight="1" x14ac:dyDescent="0.2">
      <c r="A19" s="78" t="s">
        <v>332</v>
      </c>
      <c r="B19" s="159">
        <f t="shared" ref="B19:J19" si="9">IF(B35=0,0,(B37+B43)/B35)</f>
        <v>0</v>
      </c>
      <c r="C19" s="159">
        <f t="shared" si="9"/>
        <v>0</v>
      </c>
      <c r="D19" s="159">
        <f t="shared" si="9"/>
        <v>0</v>
      </c>
      <c r="E19" s="159">
        <f t="shared" si="9"/>
        <v>0</v>
      </c>
      <c r="F19" s="159">
        <f t="shared" si="9"/>
        <v>0</v>
      </c>
      <c r="G19" s="159">
        <f t="shared" si="9"/>
        <v>0</v>
      </c>
      <c r="H19" s="159">
        <f t="shared" si="9"/>
        <v>0</v>
      </c>
      <c r="I19" s="159">
        <f t="shared" si="9"/>
        <v>0</v>
      </c>
      <c r="J19" s="159">
        <f t="shared" si="9"/>
        <v>0</v>
      </c>
    </row>
    <row r="20" spans="1:10" ht="12" customHeight="1" x14ac:dyDescent="0.2">
      <c r="A20" s="145" t="str">
        <f>"Exploitatie                 "&amp;"(bedragen x € "&amp;IF('Invoer algemeen en balans'!$D$4="x 1.000","1.000",1)&amp;")"</f>
        <v>Exploitatie                 (bedragen x € 1.000)</v>
      </c>
      <c r="B20" s="117">
        <f t="shared" ref="B20:J20" si="10">B2</f>
        <v>2018</v>
      </c>
      <c r="C20" s="117">
        <f t="shared" si="10"/>
        <v>2019</v>
      </c>
      <c r="D20" s="117">
        <f t="shared" si="10"/>
        <v>2020</v>
      </c>
      <c r="E20" s="117">
        <f t="shared" si="10"/>
        <v>2021</v>
      </c>
      <c r="F20" s="117">
        <f t="shared" si="10"/>
        <v>2022</v>
      </c>
      <c r="G20" s="117">
        <f t="shared" si="10"/>
        <v>2023</v>
      </c>
      <c r="H20" s="117">
        <f t="shared" si="10"/>
        <v>2024</v>
      </c>
      <c r="I20" s="117">
        <f t="shared" si="10"/>
        <v>2025</v>
      </c>
      <c r="J20" s="117">
        <f t="shared" si="10"/>
        <v>2026</v>
      </c>
    </row>
    <row r="21" spans="1:10" ht="12" customHeight="1" x14ac:dyDescent="0.2">
      <c r="A21" s="164" t="s">
        <v>320</v>
      </c>
      <c r="B21" s="225"/>
      <c r="C21" s="225"/>
      <c r="D21" s="212"/>
      <c r="E21" s="212">
        <f t="shared" ref="E21:J25" si="11">D21*(1+E5)</f>
        <v>0</v>
      </c>
      <c r="F21" s="212">
        <f t="shared" si="11"/>
        <v>0</v>
      </c>
      <c r="G21" s="212">
        <f t="shared" si="11"/>
        <v>0</v>
      </c>
      <c r="H21" s="212">
        <f t="shared" si="11"/>
        <v>0</v>
      </c>
      <c r="I21" s="212">
        <f t="shared" si="11"/>
        <v>0</v>
      </c>
      <c r="J21" s="212">
        <f t="shared" si="11"/>
        <v>0</v>
      </c>
    </row>
    <row r="22" spans="1:10" ht="12" customHeight="1" x14ac:dyDescent="0.2">
      <c r="A22" s="164" t="s">
        <v>321</v>
      </c>
      <c r="B22" s="225"/>
      <c r="C22" s="225"/>
      <c r="D22" s="212"/>
      <c r="E22" s="212">
        <f t="shared" si="11"/>
        <v>0</v>
      </c>
      <c r="F22" s="212">
        <f t="shared" si="11"/>
        <v>0</v>
      </c>
      <c r="G22" s="212">
        <f t="shared" si="11"/>
        <v>0</v>
      </c>
      <c r="H22" s="212">
        <f t="shared" si="11"/>
        <v>0</v>
      </c>
      <c r="I22" s="212">
        <f t="shared" si="11"/>
        <v>0</v>
      </c>
      <c r="J22" s="212">
        <f t="shared" si="11"/>
        <v>0</v>
      </c>
    </row>
    <row r="23" spans="1:10" ht="12" customHeight="1" x14ac:dyDescent="0.2">
      <c r="A23" s="164" t="s">
        <v>322</v>
      </c>
      <c r="B23" s="225"/>
      <c r="C23" s="225"/>
      <c r="D23" s="212"/>
      <c r="E23" s="212">
        <f t="shared" si="11"/>
        <v>0</v>
      </c>
      <c r="F23" s="212">
        <f t="shared" si="11"/>
        <v>0</v>
      </c>
      <c r="G23" s="212">
        <f t="shared" si="11"/>
        <v>0</v>
      </c>
      <c r="H23" s="212">
        <f t="shared" si="11"/>
        <v>0</v>
      </c>
      <c r="I23" s="212">
        <f t="shared" si="11"/>
        <v>0</v>
      </c>
      <c r="J23" s="212">
        <f t="shared" si="11"/>
        <v>0</v>
      </c>
    </row>
    <row r="24" spans="1:10" ht="12" customHeight="1" x14ac:dyDescent="0.2">
      <c r="A24" s="164" t="s">
        <v>323</v>
      </c>
      <c r="B24" s="225"/>
      <c r="C24" s="225"/>
      <c r="D24" s="212"/>
      <c r="E24" s="212">
        <f t="shared" si="11"/>
        <v>0</v>
      </c>
      <c r="F24" s="212">
        <f t="shared" si="11"/>
        <v>0</v>
      </c>
      <c r="G24" s="212">
        <f t="shared" si="11"/>
        <v>0</v>
      </c>
      <c r="H24" s="212">
        <f t="shared" si="11"/>
        <v>0</v>
      </c>
      <c r="I24" s="212">
        <f t="shared" si="11"/>
        <v>0</v>
      </c>
      <c r="J24" s="212">
        <f t="shared" si="11"/>
        <v>0</v>
      </c>
    </row>
    <row r="25" spans="1:10" ht="12" customHeight="1" x14ac:dyDescent="0.2">
      <c r="A25" s="164" t="s">
        <v>324</v>
      </c>
      <c r="B25" s="226"/>
      <c r="C25" s="226"/>
      <c r="D25" s="227"/>
      <c r="E25" s="227">
        <f t="shared" si="11"/>
        <v>0</v>
      </c>
      <c r="F25" s="227">
        <f t="shared" si="11"/>
        <v>0</v>
      </c>
      <c r="G25" s="227">
        <f t="shared" si="11"/>
        <v>0</v>
      </c>
      <c r="H25" s="227">
        <f t="shared" si="11"/>
        <v>0</v>
      </c>
      <c r="I25" s="227">
        <f t="shared" si="11"/>
        <v>0</v>
      </c>
      <c r="J25" s="227">
        <f t="shared" si="11"/>
        <v>0</v>
      </c>
    </row>
    <row r="26" spans="1:10" ht="12" customHeight="1" x14ac:dyDescent="0.2">
      <c r="A26" s="136" t="s">
        <v>270</v>
      </c>
      <c r="B26" s="209">
        <f>SUM(B21:B25)</f>
        <v>0</v>
      </c>
      <c r="C26" s="209">
        <f>SUM(C21:C25)</f>
        <v>0</v>
      </c>
      <c r="D26" s="209">
        <f>SUM(D21:D25)</f>
        <v>0</v>
      </c>
      <c r="E26" s="209">
        <f t="shared" ref="E26:J26" si="12">SUM(E21:E25)</f>
        <v>0</v>
      </c>
      <c r="F26" s="209">
        <f t="shared" si="12"/>
        <v>0</v>
      </c>
      <c r="G26" s="209">
        <f t="shared" si="12"/>
        <v>0</v>
      </c>
      <c r="H26" s="209">
        <f t="shared" si="12"/>
        <v>0</v>
      </c>
      <c r="I26" s="209">
        <f t="shared" si="12"/>
        <v>0</v>
      </c>
      <c r="J26" s="209">
        <f t="shared" si="12"/>
        <v>0</v>
      </c>
    </row>
    <row r="27" spans="1:10" ht="12" customHeight="1" x14ac:dyDescent="0.2">
      <c r="A27" s="163" t="str">
        <f>"Inkoop "&amp;A21</f>
        <v>Inkoop Omzetgroep 1</v>
      </c>
      <c r="B27" s="203"/>
      <c r="C27" s="203"/>
      <c r="D27" s="203"/>
      <c r="E27" s="209" t="str">
        <f t="shared" ref="E27:J31" si="13">IF(E11="","",E21*(1-E11))</f>
        <v/>
      </c>
      <c r="F27" s="209" t="str">
        <f t="shared" si="13"/>
        <v/>
      </c>
      <c r="G27" s="209" t="str">
        <f t="shared" si="13"/>
        <v/>
      </c>
      <c r="H27" s="209" t="str">
        <f t="shared" si="13"/>
        <v/>
      </c>
      <c r="I27" s="209" t="str">
        <f t="shared" si="13"/>
        <v/>
      </c>
      <c r="J27" s="209" t="str">
        <f t="shared" si="13"/>
        <v/>
      </c>
    </row>
    <row r="28" spans="1:10" ht="12" customHeight="1" x14ac:dyDescent="0.2">
      <c r="A28" s="163" t="str">
        <f>"Inkoop "&amp;A22</f>
        <v>Inkoop Omzetgroep 2</v>
      </c>
      <c r="B28" s="203"/>
      <c r="C28" s="203"/>
      <c r="D28" s="203"/>
      <c r="E28" s="209" t="str">
        <f t="shared" si="13"/>
        <v/>
      </c>
      <c r="F28" s="209" t="str">
        <f t="shared" si="13"/>
        <v/>
      </c>
      <c r="G28" s="209" t="str">
        <f t="shared" si="13"/>
        <v/>
      </c>
      <c r="H28" s="209" t="str">
        <f t="shared" si="13"/>
        <v/>
      </c>
      <c r="I28" s="209" t="str">
        <f t="shared" si="13"/>
        <v/>
      </c>
      <c r="J28" s="209" t="str">
        <f t="shared" si="13"/>
        <v/>
      </c>
    </row>
    <row r="29" spans="1:10" ht="12" customHeight="1" x14ac:dyDescent="0.2">
      <c r="A29" s="163" t="str">
        <f>"Inkoop "&amp;A23</f>
        <v>Inkoop Omzetgroep 3</v>
      </c>
      <c r="B29" s="203"/>
      <c r="C29" s="203"/>
      <c r="D29" s="203"/>
      <c r="E29" s="209" t="str">
        <f t="shared" si="13"/>
        <v/>
      </c>
      <c r="F29" s="209" t="str">
        <f t="shared" si="13"/>
        <v/>
      </c>
      <c r="G29" s="209" t="str">
        <f t="shared" si="13"/>
        <v/>
      </c>
      <c r="H29" s="209" t="str">
        <f t="shared" si="13"/>
        <v/>
      </c>
      <c r="I29" s="209" t="str">
        <f t="shared" si="13"/>
        <v/>
      </c>
      <c r="J29" s="209" t="str">
        <f t="shared" si="13"/>
        <v/>
      </c>
    </row>
    <row r="30" spans="1:10" ht="12" customHeight="1" x14ac:dyDescent="0.2">
      <c r="A30" s="163" t="str">
        <f>"Inkoop "&amp;A24</f>
        <v>Inkoop Omzetgroep 4</v>
      </c>
      <c r="B30" s="203"/>
      <c r="C30" s="203"/>
      <c r="D30" s="203"/>
      <c r="E30" s="209" t="str">
        <f t="shared" si="13"/>
        <v/>
      </c>
      <c r="F30" s="209" t="str">
        <f t="shared" si="13"/>
        <v/>
      </c>
      <c r="G30" s="209" t="str">
        <f t="shared" si="13"/>
        <v/>
      </c>
      <c r="H30" s="209" t="str">
        <f t="shared" si="13"/>
        <v/>
      </c>
      <c r="I30" s="209" t="str">
        <f t="shared" si="13"/>
        <v/>
      </c>
      <c r="J30" s="209" t="str">
        <f t="shared" si="13"/>
        <v/>
      </c>
    </row>
    <row r="31" spans="1:10" ht="12" customHeight="1" x14ac:dyDescent="0.2">
      <c r="A31" s="163" t="str">
        <f>"Inkoop "&amp;A25</f>
        <v>Inkoop Omzetgroep 5</v>
      </c>
      <c r="B31" s="203"/>
      <c r="C31" s="203"/>
      <c r="D31" s="203"/>
      <c r="E31" s="209" t="str">
        <f t="shared" si="13"/>
        <v/>
      </c>
      <c r="F31" s="209" t="str">
        <f t="shared" si="13"/>
        <v/>
      </c>
      <c r="G31" s="209" t="str">
        <f t="shared" si="13"/>
        <v/>
      </c>
      <c r="H31" s="209" t="str">
        <f t="shared" si="13"/>
        <v/>
      </c>
      <c r="I31" s="209" t="str">
        <f t="shared" si="13"/>
        <v/>
      </c>
      <c r="J31" s="209" t="str">
        <f t="shared" si="13"/>
        <v/>
      </c>
    </row>
    <row r="32" spans="1:10" ht="12" customHeight="1" x14ac:dyDescent="0.2">
      <c r="A32" s="168" t="s">
        <v>312</v>
      </c>
      <c r="B32" s="228"/>
      <c r="C32" s="228"/>
      <c r="D32" s="228"/>
      <c r="E32" s="227" t="str">
        <f t="shared" ref="E32:J32" si="14">IF(D32="", "", D32*E26/D26)</f>
        <v/>
      </c>
      <c r="F32" s="227" t="str">
        <f t="shared" si="14"/>
        <v/>
      </c>
      <c r="G32" s="227" t="str">
        <f t="shared" si="14"/>
        <v/>
      </c>
      <c r="H32" s="227" t="str">
        <f t="shared" si="14"/>
        <v/>
      </c>
      <c r="I32" s="227" t="str">
        <f t="shared" si="14"/>
        <v/>
      </c>
      <c r="J32" s="227" t="str">
        <f t="shared" si="14"/>
        <v/>
      </c>
    </row>
    <row r="33" spans="1:10" ht="12" customHeight="1" x14ac:dyDescent="0.2">
      <c r="A33" s="168"/>
      <c r="B33" s="203"/>
      <c r="C33" s="203"/>
      <c r="D33" s="203"/>
      <c r="E33" s="203"/>
      <c r="F33" s="203"/>
      <c r="G33" s="203"/>
      <c r="H33" s="203"/>
      <c r="I33" s="203"/>
      <c r="J33" s="203"/>
    </row>
    <row r="34" spans="1:10" ht="12" customHeight="1" x14ac:dyDescent="0.2">
      <c r="A34" s="136" t="s">
        <v>269</v>
      </c>
      <c r="B34" s="209">
        <f t="shared" ref="B34:J34" si="15">SUM(B27:B32)</f>
        <v>0</v>
      </c>
      <c r="C34" s="209">
        <f t="shared" si="15"/>
        <v>0</v>
      </c>
      <c r="D34" s="209">
        <f t="shared" si="15"/>
        <v>0</v>
      </c>
      <c r="E34" s="209">
        <f t="shared" si="15"/>
        <v>0</v>
      </c>
      <c r="F34" s="209">
        <f t="shared" si="15"/>
        <v>0</v>
      </c>
      <c r="G34" s="209">
        <f t="shared" si="15"/>
        <v>0</v>
      </c>
      <c r="H34" s="209">
        <f t="shared" si="15"/>
        <v>0</v>
      </c>
      <c r="I34" s="209">
        <f t="shared" si="15"/>
        <v>0</v>
      </c>
      <c r="J34" s="209">
        <f t="shared" si="15"/>
        <v>0</v>
      </c>
    </row>
    <row r="35" spans="1:10" ht="12" customHeight="1" x14ac:dyDescent="0.2">
      <c r="A35" s="152" t="s">
        <v>233</v>
      </c>
      <c r="B35" s="215">
        <f t="shared" ref="B35:J35" si="16">B26-B34</f>
        <v>0</v>
      </c>
      <c r="C35" s="215">
        <f t="shared" si="16"/>
        <v>0</v>
      </c>
      <c r="D35" s="215">
        <f t="shared" si="16"/>
        <v>0</v>
      </c>
      <c r="E35" s="215">
        <f t="shared" si="16"/>
        <v>0</v>
      </c>
      <c r="F35" s="215">
        <f t="shared" si="16"/>
        <v>0</v>
      </c>
      <c r="G35" s="215">
        <f t="shared" si="16"/>
        <v>0</v>
      </c>
      <c r="H35" s="215">
        <f t="shared" si="16"/>
        <v>0</v>
      </c>
      <c r="I35" s="215">
        <f t="shared" si="16"/>
        <v>0</v>
      </c>
      <c r="J35" s="215">
        <f t="shared" si="16"/>
        <v>0</v>
      </c>
    </row>
    <row r="36" spans="1:10" ht="12" customHeight="1" x14ac:dyDescent="0.2">
      <c r="A36" s="152"/>
      <c r="B36" s="215"/>
      <c r="C36" s="215"/>
      <c r="D36" s="215"/>
      <c r="E36" s="215"/>
      <c r="F36" s="215"/>
      <c r="G36" s="215"/>
      <c r="H36" s="215"/>
      <c r="I36" s="215"/>
      <c r="J36" s="215"/>
    </row>
    <row r="37" spans="1:10" ht="12" customHeight="1" x14ac:dyDescent="0.2">
      <c r="A37" s="166" t="s">
        <v>234</v>
      </c>
      <c r="B37" s="203"/>
      <c r="C37" s="203"/>
      <c r="D37" s="203"/>
      <c r="E37" s="212">
        <f t="shared" ref="E37:J37" si="17">IF(D19=0,0,+E$35*D$19*(D37/(D$37+D$43)))</f>
        <v>0</v>
      </c>
      <c r="F37" s="212">
        <f t="shared" si="17"/>
        <v>0</v>
      </c>
      <c r="G37" s="212">
        <f t="shared" si="17"/>
        <v>0</v>
      </c>
      <c r="H37" s="212">
        <f t="shared" si="17"/>
        <v>0</v>
      </c>
      <c r="I37" s="212">
        <f t="shared" si="17"/>
        <v>0</v>
      </c>
      <c r="J37" s="212">
        <f t="shared" si="17"/>
        <v>0</v>
      </c>
    </row>
    <row r="38" spans="1:10" ht="12" customHeight="1" x14ac:dyDescent="0.2">
      <c r="A38" s="166" t="s">
        <v>235</v>
      </c>
      <c r="B38" s="203"/>
      <c r="C38" s="203"/>
      <c r="D38" s="203"/>
      <c r="E38" s="212">
        <f>IF(D$37=0,0,D38/D$37*E$37)</f>
        <v>0</v>
      </c>
      <c r="F38" s="212">
        <f>IF(E$37=0,0,E38/E$37*F$37)</f>
        <v>0</v>
      </c>
      <c r="G38" s="212">
        <f>IF(F37=0,0,F38/F$37*G$37)</f>
        <v>0</v>
      </c>
      <c r="H38" s="212">
        <f>IF(G37=0,0,G38/G$37*H$37)</f>
        <v>0</v>
      </c>
      <c r="I38" s="212">
        <f>IF(H37=0,0,H38/H$37*I$37)</f>
        <v>0</v>
      </c>
      <c r="J38" s="212">
        <f>IF(I37=0,0,I38/I$37*J$37)</f>
        <v>0</v>
      </c>
    </row>
    <row r="39" spans="1:10" ht="12" customHeight="1" x14ac:dyDescent="0.2">
      <c r="A39" s="166" t="s">
        <v>236</v>
      </c>
      <c r="B39" s="203"/>
      <c r="C39" s="203"/>
      <c r="D39" s="203"/>
      <c r="E39" s="212">
        <f>IF(D$37=0,0,D39/D$37*E$37)</f>
        <v>0</v>
      </c>
      <c r="F39" s="212">
        <f>IF(E$37=0,0,E39/E$37*F$37)</f>
        <v>0</v>
      </c>
      <c r="G39" s="212">
        <f>IF(F$37=0,0,F39/F$37*G$37)</f>
        <v>0</v>
      </c>
      <c r="H39" s="212">
        <f>IF(G$37=0,0,G39/G$37*H$37)</f>
        <v>0</v>
      </c>
      <c r="I39" s="212">
        <f>IF(H$37=0,0,H39/H$37*I$37)</f>
        <v>0</v>
      </c>
      <c r="J39" s="212">
        <f>IF(I$37=0,0,I39/I$37*J$37)</f>
        <v>0</v>
      </c>
    </row>
    <row r="40" spans="1:10" ht="12" customHeight="1" x14ac:dyDescent="0.2">
      <c r="A40" s="166" t="s">
        <v>237</v>
      </c>
      <c r="B40" s="203"/>
      <c r="C40" s="203"/>
      <c r="D40" s="203"/>
      <c r="E40" s="212">
        <f t="shared" ref="E40:J41" si="18">D40*(1+E$3)</f>
        <v>0</v>
      </c>
      <c r="F40" s="212">
        <f t="shared" si="18"/>
        <v>0</v>
      </c>
      <c r="G40" s="212">
        <f t="shared" si="18"/>
        <v>0</v>
      </c>
      <c r="H40" s="212">
        <f t="shared" si="18"/>
        <v>0</v>
      </c>
      <c r="I40" s="212">
        <f t="shared" si="18"/>
        <v>0</v>
      </c>
      <c r="J40" s="212">
        <f t="shared" si="18"/>
        <v>0</v>
      </c>
    </row>
    <row r="41" spans="1:10" ht="12" customHeight="1" x14ac:dyDescent="0.2">
      <c r="A41" s="166" t="s">
        <v>310</v>
      </c>
      <c r="B41" s="203"/>
      <c r="C41" s="203"/>
      <c r="D41" s="203"/>
      <c r="E41" s="212">
        <f t="shared" si="18"/>
        <v>0</v>
      </c>
      <c r="F41" s="212">
        <f t="shared" si="18"/>
        <v>0</v>
      </c>
      <c r="G41" s="212">
        <f t="shared" si="18"/>
        <v>0</v>
      </c>
      <c r="H41" s="212">
        <f t="shared" si="18"/>
        <v>0</v>
      </c>
      <c r="I41" s="212">
        <f t="shared" si="18"/>
        <v>0</v>
      </c>
      <c r="J41" s="212">
        <f t="shared" si="18"/>
        <v>0</v>
      </c>
    </row>
    <row r="42" spans="1:10" ht="12" customHeight="1" x14ac:dyDescent="0.2">
      <c r="A42" s="172" t="s">
        <v>272</v>
      </c>
      <c r="B42" s="203"/>
      <c r="C42" s="203"/>
      <c r="D42" s="203"/>
      <c r="E42" s="212">
        <f>D42*(1+E$3)</f>
        <v>0</v>
      </c>
      <c r="F42" s="212">
        <f>IF(E42="","",E42*(1+F$3))</f>
        <v>0</v>
      </c>
      <c r="G42" s="212">
        <f>IF(F42="","",F42*(1+G$3))</f>
        <v>0</v>
      </c>
      <c r="H42" s="212">
        <f>IF(G42="","",G42*(1+H$3))</f>
        <v>0</v>
      </c>
      <c r="I42" s="212">
        <f>IF(H42="","",H42*(1+I$3))</f>
        <v>0</v>
      </c>
      <c r="J42" s="212">
        <f>IF(I42="","",I42*(1+J$3))</f>
        <v>0</v>
      </c>
    </row>
    <row r="43" spans="1:10" ht="12" customHeight="1" x14ac:dyDescent="0.2">
      <c r="A43" s="172" t="s">
        <v>311</v>
      </c>
      <c r="B43" s="203"/>
      <c r="C43" s="203"/>
      <c r="D43" s="203"/>
      <c r="E43" s="212">
        <f>D43*(1+E$3)</f>
        <v>0</v>
      </c>
      <c r="F43" s="212">
        <f t="shared" ref="F43:J46" si="19">E43*(1+F$3)</f>
        <v>0</v>
      </c>
      <c r="G43" s="212">
        <f t="shared" si="19"/>
        <v>0</v>
      </c>
      <c r="H43" s="212">
        <f t="shared" si="19"/>
        <v>0</v>
      </c>
      <c r="I43" s="212">
        <f t="shared" si="19"/>
        <v>0</v>
      </c>
      <c r="J43" s="212">
        <f t="shared" si="19"/>
        <v>0</v>
      </c>
    </row>
    <row r="44" spans="1:10" ht="12" customHeight="1" x14ac:dyDescent="0.2">
      <c r="A44" s="166" t="s">
        <v>238</v>
      </c>
      <c r="B44" s="203"/>
      <c r="C44" s="203"/>
      <c r="D44" s="203"/>
      <c r="E44" s="212">
        <f>D44*(1+E$3)</f>
        <v>0</v>
      </c>
      <c r="F44" s="212">
        <f t="shared" si="19"/>
        <v>0</v>
      </c>
      <c r="G44" s="212">
        <f t="shared" si="19"/>
        <v>0</v>
      </c>
      <c r="H44" s="212">
        <f t="shared" si="19"/>
        <v>0</v>
      </c>
      <c r="I44" s="212">
        <f t="shared" si="19"/>
        <v>0</v>
      </c>
      <c r="J44" s="212">
        <f t="shared" si="19"/>
        <v>0</v>
      </c>
    </row>
    <row r="45" spans="1:10" ht="12" customHeight="1" x14ac:dyDescent="0.2">
      <c r="A45" s="166" t="s">
        <v>239</v>
      </c>
      <c r="B45" s="203"/>
      <c r="C45" s="203"/>
      <c r="D45" s="203"/>
      <c r="E45" s="212">
        <f>D45*(1+E$3)</f>
        <v>0</v>
      </c>
      <c r="F45" s="212">
        <f t="shared" si="19"/>
        <v>0</v>
      </c>
      <c r="G45" s="212">
        <f t="shared" si="19"/>
        <v>0</v>
      </c>
      <c r="H45" s="212">
        <f t="shared" si="19"/>
        <v>0</v>
      </c>
      <c r="I45" s="212">
        <f t="shared" si="19"/>
        <v>0</v>
      </c>
      <c r="J45" s="212">
        <f t="shared" si="19"/>
        <v>0</v>
      </c>
    </row>
    <row r="46" spans="1:10" ht="12" customHeight="1" x14ac:dyDescent="0.2">
      <c r="A46" s="166" t="s">
        <v>240</v>
      </c>
      <c r="B46" s="228"/>
      <c r="C46" s="228"/>
      <c r="D46" s="228"/>
      <c r="E46" s="227">
        <f>D46*(1+E$3)</f>
        <v>0</v>
      </c>
      <c r="F46" s="227">
        <f t="shared" si="19"/>
        <v>0</v>
      </c>
      <c r="G46" s="227">
        <f t="shared" si="19"/>
        <v>0</v>
      </c>
      <c r="H46" s="227">
        <f t="shared" si="19"/>
        <v>0</v>
      </c>
      <c r="I46" s="227">
        <f t="shared" si="19"/>
        <v>0</v>
      </c>
      <c r="J46" s="227">
        <f t="shared" si="19"/>
        <v>0</v>
      </c>
    </row>
    <row r="47" spans="1:10" ht="12" customHeight="1" x14ac:dyDescent="0.2">
      <c r="A47" s="136" t="s">
        <v>268</v>
      </c>
      <c r="B47" s="209">
        <f t="shared" ref="B47:J47" si="20">SUM(B37:B46)</f>
        <v>0</v>
      </c>
      <c r="C47" s="209">
        <f t="shared" si="20"/>
        <v>0</v>
      </c>
      <c r="D47" s="209">
        <f t="shared" si="20"/>
        <v>0</v>
      </c>
      <c r="E47" s="209">
        <f t="shared" si="20"/>
        <v>0</v>
      </c>
      <c r="F47" s="209">
        <f t="shared" si="20"/>
        <v>0</v>
      </c>
      <c r="G47" s="209">
        <f t="shared" si="20"/>
        <v>0</v>
      </c>
      <c r="H47" s="209">
        <f t="shared" si="20"/>
        <v>0</v>
      </c>
      <c r="I47" s="209">
        <f t="shared" si="20"/>
        <v>0</v>
      </c>
      <c r="J47" s="209">
        <f t="shared" si="20"/>
        <v>0</v>
      </c>
    </row>
    <row r="48" spans="1:10" ht="12" customHeight="1" x14ac:dyDescent="0.2">
      <c r="A48" s="166" t="s">
        <v>241</v>
      </c>
      <c r="B48" s="203"/>
      <c r="C48" s="203"/>
      <c r="D48" s="203"/>
      <c r="E48" s="212">
        <f t="shared" ref="E48:E53" si="21">D48*(1+E$3)</f>
        <v>0</v>
      </c>
      <c r="F48" s="212">
        <f t="shared" ref="F48:F53" si="22">E48*(1+F$3)</f>
        <v>0</v>
      </c>
      <c r="G48" s="212">
        <f t="shared" ref="G48:G53" si="23">F48*(1+G$3)</f>
        <v>0</v>
      </c>
      <c r="H48" s="212">
        <f t="shared" ref="H48:H53" si="24">G48*(1+H$3)</f>
        <v>0</v>
      </c>
      <c r="I48" s="212">
        <f t="shared" ref="I48:J50" si="25">H48*(1+I$3)</f>
        <v>0</v>
      </c>
      <c r="J48" s="212">
        <f t="shared" si="25"/>
        <v>0</v>
      </c>
    </row>
    <row r="49" spans="1:10" ht="12" customHeight="1" x14ac:dyDescent="0.2">
      <c r="A49" s="166" t="s">
        <v>242</v>
      </c>
      <c r="B49" s="203"/>
      <c r="C49" s="203"/>
      <c r="D49" s="203"/>
      <c r="E49" s="212">
        <f t="shared" si="21"/>
        <v>0</v>
      </c>
      <c r="F49" s="212">
        <f t="shared" si="22"/>
        <v>0</v>
      </c>
      <c r="G49" s="212">
        <f t="shared" si="23"/>
        <v>0</v>
      </c>
      <c r="H49" s="212">
        <f t="shared" si="24"/>
        <v>0</v>
      </c>
      <c r="I49" s="212">
        <f t="shared" si="25"/>
        <v>0</v>
      </c>
      <c r="J49" s="212">
        <f t="shared" si="25"/>
        <v>0</v>
      </c>
    </row>
    <row r="50" spans="1:10" ht="12" customHeight="1" x14ac:dyDescent="0.2">
      <c r="A50" s="39" t="s">
        <v>244</v>
      </c>
      <c r="B50" s="203"/>
      <c r="C50" s="203"/>
      <c r="D50" s="203"/>
      <c r="E50" s="212">
        <f t="shared" si="21"/>
        <v>0</v>
      </c>
      <c r="F50" s="212">
        <f t="shared" si="22"/>
        <v>0</v>
      </c>
      <c r="G50" s="212">
        <f t="shared" si="23"/>
        <v>0</v>
      </c>
      <c r="H50" s="212">
        <f t="shared" si="24"/>
        <v>0</v>
      </c>
      <c r="I50" s="212">
        <f t="shared" si="25"/>
        <v>0</v>
      </c>
      <c r="J50" s="212">
        <f t="shared" si="25"/>
        <v>0</v>
      </c>
    </row>
    <row r="51" spans="1:10" ht="12" customHeight="1" x14ac:dyDescent="0.2">
      <c r="A51" s="166" t="s">
        <v>243</v>
      </c>
      <c r="B51" s="203"/>
      <c r="C51" s="203"/>
      <c r="D51" s="203"/>
      <c r="E51" s="212">
        <f t="shared" si="21"/>
        <v>0</v>
      </c>
      <c r="F51" s="212">
        <f t="shared" si="22"/>
        <v>0</v>
      </c>
      <c r="G51" s="212">
        <f t="shared" si="23"/>
        <v>0</v>
      </c>
      <c r="H51" s="212">
        <f t="shared" si="24"/>
        <v>0</v>
      </c>
      <c r="I51" s="212">
        <f t="shared" ref="I51:J53" si="26">H51*(1+I$3)</f>
        <v>0</v>
      </c>
      <c r="J51" s="212">
        <f t="shared" si="26"/>
        <v>0</v>
      </c>
    </row>
    <row r="52" spans="1:10" ht="12" customHeight="1" x14ac:dyDescent="0.2">
      <c r="A52" s="166" t="s">
        <v>245</v>
      </c>
      <c r="B52" s="203"/>
      <c r="C52" s="203"/>
      <c r="D52" s="203"/>
      <c r="E52" s="212">
        <f t="shared" si="21"/>
        <v>0</v>
      </c>
      <c r="F52" s="212">
        <f t="shared" si="22"/>
        <v>0</v>
      </c>
      <c r="G52" s="212">
        <f t="shared" si="23"/>
        <v>0</v>
      </c>
      <c r="H52" s="212">
        <f t="shared" si="24"/>
        <v>0</v>
      </c>
      <c r="I52" s="212">
        <f t="shared" si="26"/>
        <v>0</v>
      </c>
      <c r="J52" s="212">
        <f t="shared" si="26"/>
        <v>0</v>
      </c>
    </row>
    <row r="53" spans="1:10" ht="12" customHeight="1" x14ac:dyDescent="0.2">
      <c r="A53" s="166" t="s">
        <v>246</v>
      </c>
      <c r="B53" s="228"/>
      <c r="C53" s="228"/>
      <c r="D53" s="228"/>
      <c r="E53" s="227">
        <f t="shared" si="21"/>
        <v>0</v>
      </c>
      <c r="F53" s="227">
        <f t="shared" si="22"/>
        <v>0</v>
      </c>
      <c r="G53" s="227">
        <f t="shared" si="23"/>
        <v>0</v>
      </c>
      <c r="H53" s="227">
        <f t="shared" si="24"/>
        <v>0</v>
      </c>
      <c r="I53" s="227">
        <f t="shared" si="26"/>
        <v>0</v>
      </c>
      <c r="J53" s="227">
        <f t="shared" si="26"/>
        <v>0</v>
      </c>
    </row>
    <row r="54" spans="1:10" ht="12" customHeight="1" x14ac:dyDescent="0.2">
      <c r="A54" s="136" t="s">
        <v>267</v>
      </c>
      <c r="B54" s="209">
        <f>SUM(B48:B53)</f>
        <v>0</v>
      </c>
      <c r="C54" s="209">
        <f t="shared" ref="C54:J54" si="27">SUM(C48:C53)</f>
        <v>0</v>
      </c>
      <c r="D54" s="209">
        <f t="shared" si="27"/>
        <v>0</v>
      </c>
      <c r="E54" s="209">
        <f t="shared" si="27"/>
        <v>0</v>
      </c>
      <c r="F54" s="209">
        <f t="shared" si="27"/>
        <v>0</v>
      </c>
      <c r="G54" s="209">
        <f t="shared" si="27"/>
        <v>0</v>
      </c>
      <c r="H54" s="209">
        <f t="shared" si="27"/>
        <v>0</v>
      </c>
      <c r="I54" s="209">
        <f t="shared" si="27"/>
        <v>0</v>
      </c>
      <c r="J54" s="209">
        <f t="shared" si="27"/>
        <v>0</v>
      </c>
    </row>
    <row r="55" spans="1:10" ht="12" customHeight="1" x14ac:dyDescent="0.2">
      <c r="A55" s="166" t="s">
        <v>247</v>
      </c>
      <c r="B55" s="203"/>
      <c r="C55" s="203"/>
      <c r="D55" s="203"/>
      <c r="E55" s="212">
        <f t="shared" ref="E55:H59" si="28">D55*(1+E$3)</f>
        <v>0</v>
      </c>
      <c r="F55" s="212">
        <f t="shared" si="28"/>
        <v>0</v>
      </c>
      <c r="G55" s="212">
        <f t="shared" si="28"/>
        <v>0</v>
      </c>
      <c r="H55" s="212">
        <f t="shared" si="28"/>
        <v>0</v>
      </c>
      <c r="I55" s="212">
        <f t="shared" ref="I55:J59" si="29">H55*(1+I$3)</f>
        <v>0</v>
      </c>
      <c r="J55" s="212">
        <f t="shared" si="29"/>
        <v>0</v>
      </c>
    </row>
    <row r="56" spans="1:10" ht="12" customHeight="1" x14ac:dyDescent="0.2">
      <c r="A56" s="166" t="s">
        <v>313</v>
      </c>
      <c r="B56" s="203"/>
      <c r="C56" s="203"/>
      <c r="D56" s="203"/>
      <c r="E56" s="212">
        <f t="shared" si="28"/>
        <v>0</v>
      </c>
      <c r="F56" s="212">
        <f t="shared" si="28"/>
        <v>0</v>
      </c>
      <c r="G56" s="212">
        <f t="shared" si="28"/>
        <v>0</v>
      </c>
      <c r="H56" s="212">
        <f t="shared" si="28"/>
        <v>0</v>
      </c>
      <c r="I56" s="212">
        <f t="shared" si="29"/>
        <v>0</v>
      </c>
      <c r="J56" s="212">
        <f t="shared" si="29"/>
        <v>0</v>
      </c>
    </row>
    <row r="57" spans="1:10" ht="12" customHeight="1" x14ac:dyDescent="0.2">
      <c r="A57" s="166" t="s">
        <v>249</v>
      </c>
      <c r="B57" s="203"/>
      <c r="C57" s="203"/>
      <c r="D57" s="203"/>
      <c r="E57" s="212">
        <f t="shared" si="28"/>
        <v>0</v>
      </c>
      <c r="F57" s="212">
        <f t="shared" si="28"/>
        <v>0</v>
      </c>
      <c r="G57" s="212">
        <f t="shared" si="28"/>
        <v>0</v>
      </c>
      <c r="H57" s="212">
        <f t="shared" si="28"/>
        <v>0</v>
      </c>
      <c r="I57" s="212">
        <f t="shared" si="29"/>
        <v>0</v>
      </c>
      <c r="J57" s="212">
        <f t="shared" si="29"/>
        <v>0</v>
      </c>
    </row>
    <row r="58" spans="1:10" ht="12" customHeight="1" x14ac:dyDescent="0.2">
      <c r="A58" s="166" t="s">
        <v>248</v>
      </c>
      <c r="B58" s="203"/>
      <c r="C58" s="203"/>
      <c r="D58" s="203"/>
      <c r="E58" s="212">
        <f t="shared" si="28"/>
        <v>0</v>
      </c>
      <c r="F58" s="212">
        <f t="shared" si="28"/>
        <v>0</v>
      </c>
      <c r="G58" s="212">
        <f t="shared" si="28"/>
        <v>0</v>
      </c>
      <c r="H58" s="212">
        <f t="shared" si="28"/>
        <v>0</v>
      </c>
      <c r="I58" s="212">
        <f t="shared" si="29"/>
        <v>0</v>
      </c>
      <c r="J58" s="212">
        <f t="shared" si="29"/>
        <v>0</v>
      </c>
    </row>
    <row r="59" spans="1:10" ht="12" customHeight="1" x14ac:dyDescent="0.2">
      <c r="A59" s="166" t="s">
        <v>250</v>
      </c>
      <c r="B59" s="228"/>
      <c r="C59" s="228"/>
      <c r="D59" s="228"/>
      <c r="E59" s="227">
        <f t="shared" si="28"/>
        <v>0</v>
      </c>
      <c r="F59" s="227">
        <f t="shared" si="28"/>
        <v>0</v>
      </c>
      <c r="G59" s="227">
        <f t="shared" si="28"/>
        <v>0</v>
      </c>
      <c r="H59" s="227">
        <f t="shared" si="28"/>
        <v>0</v>
      </c>
      <c r="I59" s="227">
        <f t="shared" si="29"/>
        <v>0</v>
      </c>
      <c r="J59" s="227">
        <f t="shared" si="29"/>
        <v>0</v>
      </c>
    </row>
    <row r="60" spans="1:10" ht="12" customHeight="1" x14ac:dyDescent="0.2">
      <c r="A60" s="136" t="s">
        <v>266</v>
      </c>
      <c r="B60" s="209">
        <f>SUM(B55:B59)</f>
        <v>0</v>
      </c>
      <c r="C60" s="209">
        <f t="shared" ref="C60:J60" si="30">SUM(C55:C59)</f>
        <v>0</v>
      </c>
      <c r="D60" s="209">
        <f t="shared" si="30"/>
        <v>0</v>
      </c>
      <c r="E60" s="209">
        <f t="shared" si="30"/>
        <v>0</v>
      </c>
      <c r="F60" s="209">
        <f t="shared" si="30"/>
        <v>0</v>
      </c>
      <c r="G60" s="209">
        <f t="shared" si="30"/>
        <v>0</v>
      </c>
      <c r="H60" s="209">
        <f t="shared" si="30"/>
        <v>0</v>
      </c>
      <c r="I60" s="209">
        <f t="shared" si="30"/>
        <v>0</v>
      </c>
      <c r="J60" s="209">
        <f t="shared" si="30"/>
        <v>0</v>
      </c>
    </row>
    <row r="61" spans="1:10" ht="12" customHeight="1" x14ac:dyDescent="0.2">
      <c r="A61" s="166" t="s">
        <v>252</v>
      </c>
      <c r="B61" s="203"/>
      <c r="C61" s="203"/>
      <c r="D61" s="203"/>
      <c r="E61" s="212">
        <f t="shared" ref="E61:G65" si="31">D61*(1+E$3)</f>
        <v>0</v>
      </c>
      <c r="F61" s="212">
        <f t="shared" si="31"/>
        <v>0</v>
      </c>
      <c r="G61" s="212">
        <f t="shared" si="31"/>
        <v>0</v>
      </c>
      <c r="H61" s="212">
        <f t="shared" ref="H61:J65" si="32">G61*(1+H$3)</f>
        <v>0</v>
      </c>
      <c r="I61" s="212">
        <f t="shared" si="32"/>
        <v>0</v>
      </c>
      <c r="J61" s="212">
        <f t="shared" si="32"/>
        <v>0</v>
      </c>
    </row>
    <row r="62" spans="1:10" ht="12" customHeight="1" x14ac:dyDescent="0.2">
      <c r="A62" s="166" t="s">
        <v>253</v>
      </c>
      <c r="B62" s="203"/>
      <c r="C62" s="203"/>
      <c r="D62" s="203"/>
      <c r="E62" s="212">
        <f t="shared" si="31"/>
        <v>0</v>
      </c>
      <c r="F62" s="212">
        <f t="shared" si="31"/>
        <v>0</v>
      </c>
      <c r="G62" s="212">
        <f t="shared" si="31"/>
        <v>0</v>
      </c>
      <c r="H62" s="212">
        <f t="shared" si="32"/>
        <v>0</v>
      </c>
      <c r="I62" s="212">
        <f t="shared" si="32"/>
        <v>0</v>
      </c>
      <c r="J62" s="212">
        <f t="shared" si="32"/>
        <v>0</v>
      </c>
    </row>
    <row r="63" spans="1:10" ht="12" customHeight="1" x14ac:dyDescent="0.2">
      <c r="A63" s="166" t="s">
        <v>255</v>
      </c>
      <c r="B63" s="203"/>
      <c r="C63" s="203"/>
      <c r="D63" s="203"/>
      <c r="E63" s="212">
        <f t="shared" si="31"/>
        <v>0</v>
      </c>
      <c r="F63" s="212">
        <f t="shared" si="31"/>
        <v>0</v>
      </c>
      <c r="G63" s="212">
        <f t="shared" si="31"/>
        <v>0</v>
      </c>
      <c r="H63" s="212">
        <f t="shared" si="32"/>
        <v>0</v>
      </c>
      <c r="I63" s="212">
        <f t="shared" si="32"/>
        <v>0</v>
      </c>
      <c r="J63" s="212">
        <f t="shared" si="32"/>
        <v>0</v>
      </c>
    </row>
    <row r="64" spans="1:10" ht="12" customHeight="1" x14ac:dyDescent="0.2">
      <c r="A64" s="166" t="s">
        <v>254</v>
      </c>
      <c r="B64" s="203"/>
      <c r="C64" s="203"/>
      <c r="D64" s="203"/>
      <c r="E64" s="212">
        <f t="shared" si="31"/>
        <v>0</v>
      </c>
      <c r="F64" s="212">
        <f t="shared" si="31"/>
        <v>0</v>
      </c>
      <c r="G64" s="212">
        <f t="shared" si="31"/>
        <v>0</v>
      </c>
      <c r="H64" s="212">
        <f t="shared" si="32"/>
        <v>0</v>
      </c>
      <c r="I64" s="212">
        <f t="shared" si="32"/>
        <v>0</v>
      </c>
      <c r="J64" s="212">
        <f t="shared" si="32"/>
        <v>0</v>
      </c>
    </row>
    <row r="65" spans="1:10" ht="12" customHeight="1" x14ac:dyDescent="0.2">
      <c r="A65" s="166" t="s">
        <v>256</v>
      </c>
      <c r="B65" s="228"/>
      <c r="C65" s="228"/>
      <c r="D65" s="228"/>
      <c r="E65" s="227">
        <f t="shared" si="31"/>
        <v>0</v>
      </c>
      <c r="F65" s="227">
        <f t="shared" si="31"/>
        <v>0</v>
      </c>
      <c r="G65" s="227">
        <f t="shared" si="31"/>
        <v>0</v>
      </c>
      <c r="H65" s="227">
        <f t="shared" si="32"/>
        <v>0</v>
      </c>
      <c r="I65" s="227">
        <f t="shared" si="32"/>
        <v>0</v>
      </c>
      <c r="J65" s="227">
        <f t="shared" si="32"/>
        <v>0</v>
      </c>
    </row>
    <row r="66" spans="1:10" ht="12" customHeight="1" x14ac:dyDescent="0.2">
      <c r="A66" s="136" t="s">
        <v>251</v>
      </c>
      <c r="B66" s="209">
        <f>SUM(B61:B65)</f>
        <v>0</v>
      </c>
      <c r="C66" s="209">
        <f t="shared" ref="C66:J66" si="33">SUM(C61:C65)</f>
        <v>0</v>
      </c>
      <c r="D66" s="209">
        <f t="shared" si="33"/>
        <v>0</v>
      </c>
      <c r="E66" s="209">
        <f t="shared" si="33"/>
        <v>0</v>
      </c>
      <c r="F66" s="209">
        <f t="shared" si="33"/>
        <v>0</v>
      </c>
      <c r="G66" s="209">
        <f t="shared" si="33"/>
        <v>0</v>
      </c>
      <c r="H66" s="209">
        <f t="shared" si="33"/>
        <v>0</v>
      </c>
      <c r="I66" s="209">
        <f t="shared" si="33"/>
        <v>0</v>
      </c>
      <c r="J66" s="209">
        <f t="shared" si="33"/>
        <v>0</v>
      </c>
    </row>
    <row r="67" spans="1:10" ht="12" customHeight="1" x14ac:dyDescent="0.2">
      <c r="A67" s="166" t="s">
        <v>257</v>
      </c>
      <c r="B67" s="203"/>
      <c r="C67" s="203"/>
      <c r="D67" s="203"/>
      <c r="E67" s="212">
        <f t="shared" ref="E67:F73" si="34">D67*(1+E$3)</f>
        <v>0</v>
      </c>
      <c r="F67" s="212">
        <f t="shared" si="34"/>
        <v>0</v>
      </c>
      <c r="G67" s="212">
        <f t="shared" ref="G67:J70" si="35">F67*(1+G$3)</f>
        <v>0</v>
      </c>
      <c r="H67" s="212">
        <f t="shared" si="35"/>
        <v>0</v>
      </c>
      <c r="I67" s="212">
        <f t="shared" si="35"/>
        <v>0</v>
      </c>
      <c r="J67" s="212">
        <f t="shared" si="35"/>
        <v>0</v>
      </c>
    </row>
    <row r="68" spans="1:10" ht="12" customHeight="1" x14ac:dyDescent="0.2">
      <c r="A68" s="39" t="s">
        <v>259</v>
      </c>
      <c r="B68" s="203"/>
      <c r="C68" s="203"/>
      <c r="D68" s="203"/>
      <c r="E68" s="212">
        <f t="shared" si="34"/>
        <v>0</v>
      </c>
      <c r="F68" s="212">
        <f t="shared" si="34"/>
        <v>0</v>
      </c>
      <c r="G68" s="212">
        <f t="shared" si="35"/>
        <v>0</v>
      </c>
      <c r="H68" s="212">
        <f t="shared" si="35"/>
        <v>0</v>
      </c>
      <c r="I68" s="212">
        <f t="shared" si="35"/>
        <v>0</v>
      </c>
      <c r="J68" s="212">
        <f t="shared" si="35"/>
        <v>0</v>
      </c>
    </row>
    <row r="69" spans="1:10" ht="12" customHeight="1" x14ac:dyDescent="0.2">
      <c r="A69" s="166" t="s">
        <v>258</v>
      </c>
      <c r="B69" s="203"/>
      <c r="C69" s="203"/>
      <c r="D69" s="203"/>
      <c r="E69" s="212">
        <f t="shared" si="34"/>
        <v>0</v>
      </c>
      <c r="F69" s="212">
        <f t="shared" si="34"/>
        <v>0</v>
      </c>
      <c r="G69" s="212">
        <f t="shared" si="35"/>
        <v>0</v>
      </c>
      <c r="H69" s="212">
        <f t="shared" si="35"/>
        <v>0</v>
      </c>
      <c r="I69" s="212">
        <f t="shared" si="35"/>
        <v>0</v>
      </c>
      <c r="J69" s="212">
        <f t="shared" si="35"/>
        <v>0</v>
      </c>
    </row>
    <row r="70" spans="1:10" ht="12" customHeight="1" x14ac:dyDescent="0.2">
      <c r="A70" s="166" t="s">
        <v>260</v>
      </c>
      <c r="B70" s="203"/>
      <c r="C70" s="203"/>
      <c r="D70" s="203"/>
      <c r="E70" s="212">
        <f t="shared" si="34"/>
        <v>0</v>
      </c>
      <c r="F70" s="212">
        <f t="shared" si="34"/>
        <v>0</v>
      </c>
      <c r="G70" s="212">
        <f t="shared" si="35"/>
        <v>0</v>
      </c>
      <c r="H70" s="212">
        <f t="shared" si="35"/>
        <v>0</v>
      </c>
      <c r="I70" s="212">
        <f t="shared" si="35"/>
        <v>0</v>
      </c>
      <c r="J70" s="212">
        <f t="shared" si="35"/>
        <v>0</v>
      </c>
    </row>
    <row r="71" spans="1:10" ht="12" customHeight="1" x14ac:dyDescent="0.2">
      <c r="A71" s="166" t="s">
        <v>261</v>
      </c>
      <c r="B71" s="203"/>
      <c r="C71" s="203"/>
      <c r="D71" s="203"/>
      <c r="E71" s="212">
        <f t="shared" si="34"/>
        <v>0</v>
      </c>
      <c r="F71" s="212">
        <f t="shared" si="34"/>
        <v>0</v>
      </c>
      <c r="G71" s="212">
        <f t="shared" ref="G71:J73" si="36">F71*(1+G$3)</f>
        <v>0</v>
      </c>
      <c r="H71" s="212">
        <f t="shared" si="36"/>
        <v>0</v>
      </c>
      <c r="I71" s="212">
        <f t="shared" si="36"/>
        <v>0</v>
      </c>
      <c r="J71" s="212">
        <f t="shared" si="36"/>
        <v>0</v>
      </c>
    </row>
    <row r="72" spans="1:10" ht="12" customHeight="1" x14ac:dyDescent="0.2">
      <c r="A72" s="166" t="s">
        <v>262</v>
      </c>
      <c r="B72" s="203"/>
      <c r="C72" s="203"/>
      <c r="D72" s="203"/>
      <c r="E72" s="212">
        <f t="shared" si="34"/>
        <v>0</v>
      </c>
      <c r="F72" s="212">
        <f t="shared" si="34"/>
        <v>0</v>
      </c>
      <c r="G72" s="212">
        <f t="shared" si="36"/>
        <v>0</v>
      </c>
      <c r="H72" s="212">
        <f t="shared" si="36"/>
        <v>0</v>
      </c>
      <c r="I72" s="212">
        <f t="shared" si="36"/>
        <v>0</v>
      </c>
      <c r="J72" s="212">
        <f t="shared" si="36"/>
        <v>0</v>
      </c>
    </row>
    <row r="73" spans="1:10" ht="12" customHeight="1" x14ac:dyDescent="0.2">
      <c r="A73" s="166" t="s">
        <v>263</v>
      </c>
      <c r="B73" s="228"/>
      <c r="C73" s="228"/>
      <c r="D73" s="228"/>
      <c r="E73" s="227">
        <f t="shared" si="34"/>
        <v>0</v>
      </c>
      <c r="F73" s="227">
        <f t="shared" si="34"/>
        <v>0</v>
      </c>
      <c r="G73" s="227">
        <f t="shared" si="36"/>
        <v>0</v>
      </c>
      <c r="H73" s="227">
        <f t="shared" si="36"/>
        <v>0</v>
      </c>
      <c r="I73" s="227">
        <f t="shared" si="36"/>
        <v>0</v>
      </c>
      <c r="J73" s="227">
        <f t="shared" si="36"/>
        <v>0</v>
      </c>
    </row>
    <row r="74" spans="1:10" ht="12" customHeight="1" x14ac:dyDescent="0.2">
      <c r="A74" s="136" t="s">
        <v>264</v>
      </c>
      <c r="B74" s="209">
        <f>SUM(B67:B73)</f>
        <v>0</v>
      </c>
      <c r="C74" s="209">
        <f t="shared" ref="C74:J74" si="37">SUM(C67:C73)</f>
        <v>0</v>
      </c>
      <c r="D74" s="209">
        <f t="shared" si="37"/>
        <v>0</v>
      </c>
      <c r="E74" s="209">
        <f t="shared" si="37"/>
        <v>0</v>
      </c>
      <c r="F74" s="209">
        <f t="shared" si="37"/>
        <v>0</v>
      </c>
      <c r="G74" s="209">
        <f t="shared" si="37"/>
        <v>0</v>
      </c>
      <c r="H74" s="209">
        <f t="shared" si="37"/>
        <v>0</v>
      </c>
      <c r="I74" s="209">
        <f t="shared" si="37"/>
        <v>0</v>
      </c>
      <c r="J74" s="209">
        <f t="shared" si="37"/>
        <v>0</v>
      </c>
    </row>
    <row r="75" spans="1:10" ht="12" customHeight="1" x14ac:dyDescent="0.2">
      <c r="A75" s="136"/>
      <c r="B75" s="209"/>
      <c r="C75" s="209"/>
      <c r="D75" s="209"/>
      <c r="E75" s="209"/>
      <c r="F75" s="209"/>
      <c r="G75" s="209"/>
      <c r="H75" s="209"/>
      <c r="I75" s="209"/>
      <c r="J75" s="209"/>
    </row>
    <row r="76" spans="1:10" ht="12" customHeight="1" x14ac:dyDescent="0.2">
      <c r="A76" s="198" t="s">
        <v>370</v>
      </c>
      <c r="B76" s="203"/>
      <c r="C76" s="203"/>
      <c r="D76" s="203"/>
      <c r="E76" s="209">
        <f>'Invoer algemeen en balans'!E54-'Invoer algemeen en balans'!D54</f>
        <v>0</v>
      </c>
      <c r="F76" s="209">
        <f>'Invoer algemeen en balans'!F54-'Invoer algemeen en balans'!E54</f>
        <v>0</v>
      </c>
      <c r="G76" s="209">
        <f>'Invoer algemeen en balans'!G54-'Invoer algemeen en balans'!F54</f>
        <v>0</v>
      </c>
      <c r="H76" s="209">
        <f>'Invoer algemeen en balans'!H54-'Invoer algemeen en balans'!G54</f>
        <v>0</v>
      </c>
      <c r="I76" s="209">
        <f>'Invoer algemeen en balans'!I54-'Invoer algemeen en balans'!H54</f>
        <v>0</v>
      </c>
      <c r="J76" s="209">
        <f>'Invoer algemeen en balans'!J54-'Invoer algemeen en balans'!I54</f>
        <v>0</v>
      </c>
    </row>
    <row r="77" spans="1:10" ht="12" customHeight="1" x14ac:dyDescent="0.2">
      <c r="A77" s="136"/>
      <c r="B77" s="209"/>
      <c r="C77" s="209"/>
      <c r="D77" s="209"/>
      <c r="E77" s="209"/>
      <c r="F77" s="209"/>
      <c r="G77" s="209"/>
      <c r="H77" s="209"/>
      <c r="I77" s="209"/>
      <c r="J77" s="209"/>
    </row>
    <row r="78" spans="1:10" ht="12" customHeight="1" x14ac:dyDescent="0.2">
      <c r="A78" s="136" t="s">
        <v>47</v>
      </c>
      <c r="B78" s="209">
        <f>B47+B54+B60+B66+B74+B76</f>
        <v>0</v>
      </c>
      <c r="C78" s="209">
        <f>C47+C54+C60+C66+C74+C76</f>
        <v>0</v>
      </c>
      <c r="D78" s="209">
        <f>D47+D54+D60+D66+D74+D76</f>
        <v>0</v>
      </c>
      <c r="E78" s="209">
        <f t="shared" ref="E78:J78" si="38">E47+E54+E60+E66+E74+E76</f>
        <v>0</v>
      </c>
      <c r="F78" s="209">
        <f t="shared" si="38"/>
        <v>0</v>
      </c>
      <c r="G78" s="209">
        <f t="shared" si="38"/>
        <v>0</v>
      </c>
      <c r="H78" s="209">
        <f t="shared" si="38"/>
        <v>0</v>
      </c>
      <c r="I78" s="209">
        <f t="shared" si="38"/>
        <v>0</v>
      </c>
      <c r="J78" s="209">
        <f t="shared" si="38"/>
        <v>0</v>
      </c>
    </row>
    <row r="79" spans="1:10" ht="12" customHeight="1" x14ac:dyDescent="0.2">
      <c r="A79" s="152"/>
      <c r="B79" s="215"/>
      <c r="C79" s="215"/>
      <c r="D79" s="215"/>
      <c r="E79" s="215"/>
      <c r="F79" s="215"/>
      <c r="G79" s="215"/>
      <c r="H79" s="215"/>
      <c r="I79" s="215"/>
      <c r="J79" s="215"/>
    </row>
    <row r="80" spans="1:10" ht="12" customHeight="1" x14ac:dyDescent="0.2">
      <c r="A80" s="161" t="s">
        <v>212</v>
      </c>
      <c r="B80" s="215">
        <f>B35-B78</f>
        <v>0</v>
      </c>
      <c r="C80" s="215">
        <f t="shared" ref="C80:J80" si="39">C35-C78</f>
        <v>0</v>
      </c>
      <c r="D80" s="215">
        <f t="shared" si="39"/>
        <v>0</v>
      </c>
      <c r="E80" s="215">
        <f t="shared" si="39"/>
        <v>0</v>
      </c>
      <c r="F80" s="215">
        <f t="shared" si="39"/>
        <v>0</v>
      </c>
      <c r="G80" s="215">
        <f t="shared" si="39"/>
        <v>0</v>
      </c>
      <c r="H80" s="215">
        <f t="shared" si="39"/>
        <v>0</v>
      </c>
      <c r="I80" s="215">
        <f t="shared" si="39"/>
        <v>0</v>
      </c>
      <c r="J80" s="215">
        <f t="shared" si="39"/>
        <v>0</v>
      </c>
    </row>
    <row r="81" spans="1:10" ht="12" customHeight="1" x14ac:dyDescent="0.2">
      <c r="A81" s="161"/>
      <c r="B81" s="215"/>
      <c r="C81" s="215"/>
      <c r="D81" s="215"/>
      <c r="E81" s="215"/>
      <c r="F81" s="215"/>
      <c r="G81" s="215"/>
      <c r="H81" s="215"/>
      <c r="I81" s="215"/>
      <c r="J81" s="215"/>
    </row>
    <row r="82" spans="1:10" ht="12" customHeight="1" x14ac:dyDescent="0.2">
      <c r="A82" s="78" t="s">
        <v>278</v>
      </c>
      <c r="B82" s="203"/>
      <c r="C82" s="203"/>
      <c r="D82" s="203"/>
      <c r="E82" s="203">
        <f t="shared" ref="E82:J82" si="40">D82</f>
        <v>0</v>
      </c>
      <c r="F82" s="203">
        <f t="shared" si="40"/>
        <v>0</v>
      </c>
      <c r="G82" s="203">
        <f t="shared" si="40"/>
        <v>0</v>
      </c>
      <c r="H82" s="203">
        <f t="shared" si="40"/>
        <v>0</v>
      </c>
      <c r="I82" s="203">
        <f t="shared" si="40"/>
        <v>0</v>
      </c>
      <c r="J82" s="203">
        <f t="shared" si="40"/>
        <v>0</v>
      </c>
    </row>
    <row r="83" spans="1:10" ht="12" customHeight="1" x14ac:dyDescent="0.2">
      <c r="A83" s="161"/>
      <c r="B83" s="215"/>
      <c r="C83" s="215"/>
      <c r="D83" s="215"/>
      <c r="E83" s="215"/>
      <c r="F83" s="215"/>
      <c r="G83" s="215"/>
      <c r="H83" s="215"/>
      <c r="I83" s="215"/>
      <c r="J83" s="215"/>
    </row>
    <row r="84" spans="1:10" ht="12" customHeight="1" x14ac:dyDescent="0.2">
      <c r="A84" s="78" t="s">
        <v>273</v>
      </c>
      <c r="B84" s="203"/>
      <c r="C84" s="203"/>
      <c r="D84" s="203"/>
      <c r="E84" s="203">
        <f t="shared" ref="E84:J84" si="41">D84</f>
        <v>0</v>
      </c>
      <c r="F84" s="203">
        <f t="shared" si="41"/>
        <v>0</v>
      </c>
      <c r="G84" s="203">
        <f t="shared" si="41"/>
        <v>0</v>
      </c>
      <c r="H84" s="203">
        <f t="shared" si="41"/>
        <v>0</v>
      </c>
      <c r="I84" s="203">
        <f t="shared" si="41"/>
        <v>0</v>
      </c>
      <c r="J84" s="203">
        <f t="shared" si="41"/>
        <v>0</v>
      </c>
    </row>
    <row r="85" spans="1:10" ht="12" customHeight="1" x14ac:dyDescent="0.2">
      <c r="A85" s="78" t="s">
        <v>274</v>
      </c>
      <c r="B85" s="203"/>
      <c r="C85" s="203"/>
      <c r="D85" s="203"/>
      <c r="E85" s="203"/>
      <c r="F85" s="203">
        <f t="shared" ref="E85:J87" si="42">E85</f>
        <v>0</v>
      </c>
      <c r="G85" s="203">
        <f t="shared" si="42"/>
        <v>0</v>
      </c>
      <c r="H85" s="203">
        <f t="shared" si="42"/>
        <v>0</v>
      </c>
      <c r="I85" s="203">
        <f t="shared" si="42"/>
        <v>0</v>
      </c>
      <c r="J85" s="203">
        <f t="shared" si="42"/>
        <v>0</v>
      </c>
    </row>
    <row r="86" spans="1:10" ht="12" customHeight="1" x14ac:dyDescent="0.2">
      <c r="A86" s="78" t="s">
        <v>275</v>
      </c>
      <c r="B86" s="203"/>
      <c r="C86" s="203"/>
      <c r="D86" s="203"/>
      <c r="E86" s="203">
        <f t="shared" si="42"/>
        <v>0</v>
      </c>
      <c r="F86" s="203">
        <f t="shared" si="42"/>
        <v>0</v>
      </c>
      <c r="G86" s="203">
        <f t="shared" si="42"/>
        <v>0</v>
      </c>
      <c r="H86" s="203">
        <f t="shared" si="42"/>
        <v>0</v>
      </c>
      <c r="I86" s="203">
        <f t="shared" si="42"/>
        <v>0</v>
      </c>
      <c r="J86" s="203">
        <f t="shared" si="42"/>
        <v>0</v>
      </c>
    </row>
    <row r="87" spans="1:10" ht="12" customHeight="1" x14ac:dyDescent="0.2">
      <c r="A87" s="78" t="s">
        <v>276</v>
      </c>
      <c r="B87" s="228"/>
      <c r="C87" s="228"/>
      <c r="D87" s="228"/>
      <c r="E87" s="203">
        <f t="shared" si="42"/>
        <v>0</v>
      </c>
      <c r="F87" s="203">
        <f t="shared" si="42"/>
        <v>0</v>
      </c>
      <c r="G87" s="203">
        <f t="shared" si="42"/>
        <v>0</v>
      </c>
      <c r="H87" s="203">
        <f t="shared" si="42"/>
        <v>0</v>
      </c>
      <c r="I87" s="203">
        <f t="shared" si="42"/>
        <v>0</v>
      </c>
      <c r="J87" s="203">
        <f t="shared" si="42"/>
        <v>0</v>
      </c>
    </row>
    <row r="88" spans="1:10" ht="12" customHeight="1" x14ac:dyDescent="0.2">
      <c r="A88" s="136" t="s">
        <v>314</v>
      </c>
      <c r="B88" s="229">
        <f>B82+SUM(B84:B87)</f>
        <v>0</v>
      </c>
      <c r="C88" s="229">
        <f t="shared" ref="C88:J88" si="43">C82+SUM(C84:C87)</f>
        <v>0</v>
      </c>
      <c r="D88" s="229">
        <f t="shared" si="43"/>
        <v>0</v>
      </c>
      <c r="E88" s="229">
        <f t="shared" si="43"/>
        <v>0</v>
      </c>
      <c r="F88" s="229">
        <f t="shared" si="43"/>
        <v>0</v>
      </c>
      <c r="G88" s="229">
        <f t="shared" si="43"/>
        <v>0</v>
      </c>
      <c r="H88" s="229">
        <f t="shared" si="43"/>
        <v>0</v>
      </c>
      <c r="I88" s="229">
        <f t="shared" si="43"/>
        <v>0</v>
      </c>
      <c r="J88" s="229">
        <f t="shared" si="43"/>
        <v>0</v>
      </c>
    </row>
    <row r="89" spans="1:10" ht="12" customHeight="1" x14ac:dyDescent="0.2">
      <c r="A89" s="136"/>
      <c r="B89" s="199"/>
      <c r="C89" s="199"/>
      <c r="D89" s="199"/>
      <c r="E89" s="209"/>
      <c r="F89" s="209"/>
      <c r="G89" s="209"/>
      <c r="H89" s="209"/>
      <c r="I89" s="209"/>
      <c r="J89" s="209"/>
    </row>
    <row r="90" spans="1:10" ht="12" customHeight="1" x14ac:dyDescent="0.2">
      <c r="A90" s="78" t="s">
        <v>277</v>
      </c>
      <c r="B90" s="199">
        <f>B80-B82</f>
        <v>0</v>
      </c>
      <c r="C90" s="199">
        <f t="shared" ref="C90:J90" si="44">C80-C82</f>
        <v>0</v>
      </c>
      <c r="D90" s="199">
        <f t="shared" si="44"/>
        <v>0</v>
      </c>
      <c r="E90" s="199">
        <f t="shared" si="44"/>
        <v>0</v>
      </c>
      <c r="F90" s="199">
        <f t="shared" si="44"/>
        <v>0</v>
      </c>
      <c r="G90" s="199">
        <f t="shared" si="44"/>
        <v>0</v>
      </c>
      <c r="H90" s="199">
        <f t="shared" si="44"/>
        <v>0</v>
      </c>
      <c r="I90" s="199">
        <f t="shared" si="44"/>
        <v>0</v>
      </c>
      <c r="J90" s="199">
        <f t="shared" si="44"/>
        <v>0</v>
      </c>
    </row>
    <row r="91" spans="1:10" ht="12" customHeight="1" x14ac:dyDescent="0.2">
      <c r="A91" s="78" t="s">
        <v>210</v>
      </c>
      <c r="B91" s="209">
        <f>B80-B88</f>
        <v>0</v>
      </c>
      <c r="C91" s="209">
        <f t="shared" ref="C91:J91" si="45">C80-C88</f>
        <v>0</v>
      </c>
      <c r="D91" s="209">
        <f t="shared" si="45"/>
        <v>0</v>
      </c>
      <c r="E91" s="209">
        <f t="shared" si="45"/>
        <v>0</v>
      </c>
      <c r="F91" s="209">
        <f t="shared" si="45"/>
        <v>0</v>
      </c>
      <c r="G91" s="209">
        <f t="shared" si="45"/>
        <v>0</v>
      </c>
      <c r="H91" s="209">
        <f t="shared" si="45"/>
        <v>0</v>
      </c>
      <c r="I91" s="209">
        <f t="shared" si="45"/>
        <v>0</v>
      </c>
      <c r="J91" s="209">
        <f t="shared" si="45"/>
        <v>0</v>
      </c>
    </row>
    <row r="92" spans="1:10" ht="12" customHeight="1" x14ac:dyDescent="0.2">
      <c r="B92" s="209"/>
      <c r="C92" s="209"/>
      <c r="D92" s="209"/>
      <c r="E92" s="209"/>
      <c r="F92" s="209"/>
      <c r="G92" s="209"/>
      <c r="H92" s="209"/>
      <c r="I92" s="209"/>
      <c r="J92" s="209"/>
    </row>
    <row r="93" spans="1:10" ht="12" customHeight="1" x14ac:dyDescent="0.2">
      <c r="A93" s="78" t="s">
        <v>220</v>
      </c>
      <c r="B93" s="228"/>
      <c r="C93" s="228"/>
      <c r="D93" s="228"/>
      <c r="E93" s="221">
        <f>-('Invoer algemeen en balans'!D55+'Invoer algemeen en balans'!D56)*'Invoer algemeen en balans'!$D$6</f>
        <v>0</v>
      </c>
      <c r="F93" s="221">
        <f>-('Invoer algemeen en balans'!E55+'Invoer algemeen en balans'!E56)*'Invoer algemeen en balans'!$D$6</f>
        <v>0</v>
      </c>
      <c r="G93" s="221">
        <f>-('Invoer algemeen en balans'!F55+'Invoer algemeen en balans'!F56)*'Invoer algemeen en balans'!$D$6</f>
        <v>0</v>
      </c>
      <c r="H93" s="221">
        <f>-('Invoer algemeen en balans'!G55+'Invoer algemeen en balans'!G56)*'Invoer algemeen en balans'!$D$6</f>
        <v>0</v>
      </c>
      <c r="I93" s="221">
        <f>-('Invoer algemeen en balans'!H55+'Invoer algemeen en balans'!H56)*'Invoer algemeen en balans'!$D$6</f>
        <v>0</v>
      </c>
      <c r="J93" s="221">
        <f>-('Invoer algemeen en balans'!I55+'Invoer algemeen en balans'!I56)*'Invoer algemeen en balans'!$D$6</f>
        <v>0</v>
      </c>
    </row>
    <row r="94" spans="1:10" ht="12" customHeight="1" x14ac:dyDescent="0.2">
      <c r="A94" s="78" t="s">
        <v>218</v>
      </c>
      <c r="B94" s="209">
        <f t="shared" ref="B94:J94" si="46">B91+B93</f>
        <v>0</v>
      </c>
      <c r="C94" s="209">
        <f t="shared" si="46"/>
        <v>0</v>
      </c>
      <c r="D94" s="209">
        <f t="shared" si="46"/>
        <v>0</v>
      </c>
      <c r="E94" s="209">
        <f t="shared" si="46"/>
        <v>0</v>
      </c>
      <c r="F94" s="209">
        <f t="shared" si="46"/>
        <v>0</v>
      </c>
      <c r="G94" s="209">
        <f t="shared" si="46"/>
        <v>0</v>
      </c>
      <c r="H94" s="209">
        <f t="shared" si="46"/>
        <v>0</v>
      </c>
      <c r="I94" s="209">
        <f t="shared" si="46"/>
        <v>0</v>
      </c>
      <c r="J94" s="209">
        <f t="shared" si="46"/>
        <v>0</v>
      </c>
    </row>
    <row r="95" spans="1:10" ht="12" customHeight="1" x14ac:dyDescent="0.2">
      <c r="A95" s="176" t="s">
        <v>318</v>
      </c>
      <c r="B95" s="209"/>
      <c r="C95" s="209"/>
      <c r="D95" s="209"/>
      <c r="E95" s="203">
        <v>0</v>
      </c>
      <c r="F95" s="203">
        <v>0</v>
      </c>
      <c r="G95" s="203">
        <v>0</v>
      </c>
      <c r="H95" s="203">
        <v>0</v>
      </c>
      <c r="I95" s="203">
        <v>0</v>
      </c>
      <c r="J95" s="203">
        <f>I95</f>
        <v>0</v>
      </c>
    </row>
    <row r="96" spans="1:10" ht="12" customHeight="1" x14ac:dyDescent="0.2">
      <c r="A96" s="176" t="s">
        <v>308</v>
      </c>
      <c r="B96" s="134"/>
      <c r="C96" s="134"/>
      <c r="D96" s="134"/>
      <c r="E96" s="188">
        <v>0.19</v>
      </c>
      <c r="F96" s="188">
        <v>0.16500000000000001</v>
      </c>
      <c r="G96" s="188">
        <v>0.15</v>
      </c>
      <c r="H96" s="188">
        <f t="shared" ref="H96:I98" si="47">G96</f>
        <v>0.15</v>
      </c>
      <c r="I96" s="188">
        <f t="shared" si="47"/>
        <v>0.15</v>
      </c>
      <c r="J96" s="188">
        <f>I96</f>
        <v>0.15</v>
      </c>
    </row>
    <row r="97" spans="1:256" ht="12" customHeight="1" x14ac:dyDescent="0.2">
      <c r="A97" s="176" t="s">
        <v>344</v>
      </c>
      <c r="B97" s="134"/>
      <c r="C97" s="134"/>
      <c r="D97" s="134"/>
      <c r="E97" s="177">
        <v>200</v>
      </c>
      <c r="F97" s="177">
        <f>E97</f>
        <v>200</v>
      </c>
      <c r="G97" s="177">
        <f>F97</f>
        <v>200</v>
      </c>
      <c r="H97" s="177">
        <f t="shared" si="47"/>
        <v>200</v>
      </c>
      <c r="I97" s="177">
        <f t="shared" si="47"/>
        <v>200</v>
      </c>
      <c r="J97" s="177">
        <f>I97</f>
        <v>200</v>
      </c>
    </row>
    <row r="98" spans="1:256" ht="12" customHeight="1" x14ac:dyDescent="0.2">
      <c r="A98" s="176" t="s">
        <v>309</v>
      </c>
      <c r="B98" s="134"/>
      <c r="C98" s="134"/>
      <c r="D98" s="134"/>
      <c r="E98" s="188">
        <v>0.25</v>
      </c>
      <c r="F98" s="188">
        <v>0.25</v>
      </c>
      <c r="G98" s="188">
        <v>0.217</v>
      </c>
      <c r="H98" s="188">
        <f t="shared" si="47"/>
        <v>0.217</v>
      </c>
      <c r="I98" s="188">
        <f t="shared" si="47"/>
        <v>0.217</v>
      </c>
      <c r="J98" s="188">
        <f>I98</f>
        <v>0.217</v>
      </c>
    </row>
    <row r="99" spans="1:256" ht="12" customHeight="1" x14ac:dyDescent="0.2">
      <c r="A99" s="77" t="s">
        <v>213</v>
      </c>
      <c r="B99" s="162" t="e">
        <f>IF(B100="","",-B100/B94)</f>
        <v>#DIV/0!</v>
      </c>
      <c r="C99" s="162" t="e">
        <f>IF(C100="","",-C100/C94)</f>
        <v>#DIV/0!</v>
      </c>
      <c r="D99" s="162" t="e">
        <f>IF(D100="","",-D100/D94)</f>
        <v>#DIV/0!</v>
      </c>
      <c r="E99" s="162" t="str">
        <f t="shared" ref="E99:J99" si="48">IF(E100=0,"",-E100/E94)</f>
        <v/>
      </c>
      <c r="F99" s="162" t="str">
        <f t="shared" si="48"/>
        <v/>
      </c>
      <c r="G99" s="162" t="str">
        <f t="shared" si="48"/>
        <v/>
      </c>
      <c r="H99" s="162" t="str">
        <f t="shared" si="48"/>
        <v/>
      </c>
      <c r="I99" s="162" t="str">
        <f t="shared" si="48"/>
        <v/>
      </c>
      <c r="J99" s="162" t="str">
        <f t="shared" si="48"/>
        <v/>
      </c>
    </row>
    <row r="100" spans="1:256" ht="12" customHeight="1" x14ac:dyDescent="0.2">
      <c r="A100" s="77" t="s">
        <v>38</v>
      </c>
      <c r="B100" s="230">
        <v>-100</v>
      </c>
      <c r="C100" s="230">
        <v>-140</v>
      </c>
      <c r="D100" s="230">
        <v>-175</v>
      </c>
      <c r="E100" s="221">
        <f t="shared" ref="E100:J100" si="49">-IF(E94+E95-E97&lt;0,(E94+E95)*E96,(E94+E95-E97)*E98+E97*E96)</f>
        <v>0</v>
      </c>
      <c r="F100" s="221">
        <f t="shared" si="49"/>
        <v>0</v>
      </c>
      <c r="G100" s="221">
        <f t="shared" si="49"/>
        <v>0</v>
      </c>
      <c r="H100" s="221">
        <f t="shared" si="49"/>
        <v>0</v>
      </c>
      <c r="I100" s="221">
        <f t="shared" si="49"/>
        <v>0</v>
      </c>
      <c r="J100" s="221">
        <f t="shared" si="49"/>
        <v>0</v>
      </c>
    </row>
    <row r="101" spans="1:256" ht="12" customHeight="1" x14ac:dyDescent="0.2">
      <c r="A101" s="77" t="s">
        <v>219</v>
      </c>
      <c r="B101" s="231">
        <f>B94+B100</f>
        <v>-100</v>
      </c>
      <c r="C101" s="231">
        <f>C94+C100</f>
        <v>-140</v>
      </c>
      <c r="D101" s="231">
        <f>D94+D100</f>
        <v>-175</v>
      </c>
      <c r="E101" s="209">
        <f t="shared" ref="E101:J101" si="50">+E94+E100</f>
        <v>0</v>
      </c>
      <c r="F101" s="209">
        <f t="shared" si="50"/>
        <v>0</v>
      </c>
      <c r="G101" s="209">
        <f t="shared" si="50"/>
        <v>0</v>
      </c>
      <c r="H101" s="209">
        <f t="shared" si="50"/>
        <v>0</v>
      </c>
      <c r="I101" s="209">
        <f t="shared" si="50"/>
        <v>0</v>
      </c>
      <c r="J101" s="209">
        <f t="shared" si="50"/>
        <v>0</v>
      </c>
    </row>
    <row r="102" spans="1:256" ht="12" customHeight="1" x14ac:dyDescent="0.2"/>
    <row r="103" spans="1:256" ht="12" customHeight="1" x14ac:dyDescent="0.2">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c r="CI103" s="88"/>
      <c r="CJ103" s="88"/>
      <c r="CK103" s="88"/>
      <c r="CL103" s="88"/>
      <c r="CM103" s="88"/>
      <c r="CN103" s="88"/>
      <c r="CO103" s="88"/>
      <c r="CP103" s="88"/>
      <c r="CQ103" s="88"/>
      <c r="CR103" s="88"/>
      <c r="CS103" s="88"/>
      <c r="CT103" s="88"/>
      <c r="CU103" s="88"/>
      <c r="CV103" s="88"/>
      <c r="CW103" s="88"/>
      <c r="CX103" s="88"/>
      <c r="CY103" s="88"/>
      <c r="CZ103" s="88"/>
      <c r="DA103" s="88"/>
      <c r="DB103" s="88"/>
      <c r="DC103" s="88"/>
      <c r="DD103" s="88"/>
      <c r="DE103" s="88"/>
      <c r="DF103" s="88"/>
      <c r="DG103" s="88"/>
      <c r="DH103" s="88"/>
      <c r="DI103" s="88"/>
      <c r="DJ103" s="88"/>
      <c r="DK103" s="88"/>
      <c r="DL103" s="88"/>
      <c r="DM103" s="88"/>
      <c r="DN103" s="88"/>
      <c r="DO103" s="88"/>
      <c r="DP103" s="88"/>
      <c r="DQ103" s="88"/>
      <c r="DR103" s="88"/>
      <c r="DS103" s="88"/>
      <c r="DT103" s="88"/>
      <c r="DU103" s="88"/>
      <c r="DV103" s="88"/>
      <c r="DW103" s="88"/>
      <c r="DX103" s="88"/>
      <c r="DY103" s="88"/>
      <c r="DZ103" s="88"/>
      <c r="EA103" s="88"/>
      <c r="EB103" s="88"/>
      <c r="EC103" s="88"/>
      <c r="ED103" s="88"/>
      <c r="EE103" s="88"/>
      <c r="EF103" s="88"/>
      <c r="EG103" s="88"/>
      <c r="EH103" s="88"/>
      <c r="EI103" s="88"/>
      <c r="EJ103" s="88"/>
      <c r="EK103" s="88"/>
      <c r="EL103" s="88"/>
      <c r="EM103" s="88"/>
      <c r="EN103" s="88"/>
      <c r="EO103" s="88"/>
      <c r="EP103" s="88"/>
      <c r="EQ103" s="88"/>
      <c r="ER103" s="88"/>
      <c r="ES103" s="88"/>
      <c r="ET103" s="88"/>
      <c r="EU103" s="88"/>
      <c r="EV103" s="88"/>
      <c r="EW103" s="88"/>
      <c r="EX103" s="88"/>
      <c r="EY103" s="88"/>
      <c r="EZ103" s="88"/>
      <c r="FA103" s="88"/>
      <c r="FB103" s="88"/>
      <c r="FC103" s="88"/>
      <c r="FD103" s="88"/>
      <c r="FE103" s="88"/>
      <c r="FF103" s="88"/>
      <c r="FG103" s="88"/>
      <c r="FH103" s="88"/>
      <c r="FI103" s="88"/>
      <c r="FJ103" s="88"/>
      <c r="FK103" s="88"/>
      <c r="FL103" s="88"/>
      <c r="FM103" s="88"/>
      <c r="FN103" s="88"/>
      <c r="FO103" s="88"/>
      <c r="FP103" s="88"/>
      <c r="FQ103" s="88"/>
      <c r="FR103" s="88"/>
      <c r="FS103" s="88"/>
      <c r="FT103" s="88"/>
      <c r="FU103" s="88"/>
      <c r="FV103" s="88"/>
      <c r="FW103" s="88"/>
      <c r="FX103" s="88"/>
      <c r="FY103" s="88"/>
      <c r="FZ103" s="88"/>
      <c r="GA103" s="88"/>
      <c r="GB103" s="88"/>
      <c r="GC103" s="88"/>
      <c r="GD103" s="88"/>
      <c r="GE103" s="88"/>
      <c r="GF103" s="88"/>
      <c r="GG103" s="88"/>
      <c r="GH103" s="88"/>
      <c r="GI103" s="88"/>
      <c r="GJ103" s="88"/>
      <c r="GK103" s="88"/>
      <c r="GL103" s="88"/>
      <c r="GM103" s="88"/>
      <c r="GN103" s="88"/>
      <c r="GO103" s="88"/>
      <c r="GP103" s="88"/>
      <c r="GQ103" s="88"/>
      <c r="GR103" s="88"/>
      <c r="GS103" s="88"/>
      <c r="GT103" s="88"/>
      <c r="GU103" s="88"/>
      <c r="GV103" s="88"/>
      <c r="GW103" s="88"/>
      <c r="GX103" s="88"/>
      <c r="GY103" s="88"/>
      <c r="GZ103" s="88"/>
      <c r="HA103" s="88"/>
      <c r="HB103" s="88"/>
      <c r="HC103" s="88"/>
      <c r="HD103" s="88"/>
      <c r="HE103" s="88"/>
      <c r="HF103" s="88"/>
      <c r="HG103" s="88"/>
      <c r="HH103" s="88"/>
      <c r="HI103" s="88"/>
      <c r="HJ103" s="88"/>
      <c r="HK103" s="88"/>
      <c r="HL103" s="88"/>
      <c r="HM103" s="88"/>
      <c r="HN103" s="88"/>
      <c r="HO103" s="88"/>
      <c r="HP103" s="88"/>
      <c r="HQ103" s="88"/>
      <c r="HR103" s="88"/>
      <c r="HS103" s="88"/>
      <c r="HT103" s="88"/>
      <c r="HU103" s="88"/>
      <c r="HV103" s="88"/>
      <c r="HW103" s="88"/>
      <c r="HX103" s="88"/>
      <c r="HY103" s="88"/>
      <c r="HZ103" s="88"/>
      <c r="IA103" s="88"/>
      <c r="IB103" s="88"/>
      <c r="IC103" s="88"/>
      <c r="ID103" s="88"/>
      <c r="IE103" s="88"/>
      <c r="IF103" s="88"/>
      <c r="IG103" s="88"/>
      <c r="IH103" s="88"/>
      <c r="II103" s="88"/>
      <c r="IJ103" s="88"/>
      <c r="IK103" s="88"/>
      <c r="IL103" s="88"/>
      <c r="IM103" s="88"/>
      <c r="IN103" s="88"/>
      <c r="IO103" s="88"/>
      <c r="IP103" s="88"/>
      <c r="IQ103" s="88"/>
      <c r="IR103" s="88"/>
      <c r="IS103" s="88"/>
      <c r="IT103" s="88"/>
      <c r="IU103" s="88"/>
      <c r="IV103" s="88"/>
    </row>
    <row r="104" spans="1:256" x14ac:dyDescent="0.2"/>
    <row r="105" spans="1:256" x14ac:dyDescent="0.2"/>
    <row r="106" spans="1:256" x14ac:dyDescent="0.2"/>
    <row r="113" spans="6:256" hidden="1" x14ac:dyDescent="0.2">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59"/>
      <c r="BK113" s="159"/>
      <c r="BL113" s="159"/>
      <c r="BM113" s="159"/>
      <c r="BN113" s="159"/>
      <c r="BO113" s="159"/>
      <c r="BP113" s="159"/>
      <c r="BQ113" s="159"/>
      <c r="BR113" s="159"/>
      <c r="BS113" s="159"/>
      <c r="BT113" s="159"/>
      <c r="BU113" s="159"/>
      <c r="BV113" s="159"/>
      <c r="BW113" s="159"/>
      <c r="BX113" s="159"/>
      <c r="BY113" s="159"/>
      <c r="BZ113" s="159"/>
      <c r="CA113" s="159"/>
      <c r="CB113" s="159"/>
      <c r="CC113" s="159"/>
      <c r="CD113" s="159"/>
      <c r="CE113" s="159"/>
      <c r="CF113" s="159"/>
      <c r="CG113" s="159"/>
      <c r="CH113" s="159"/>
      <c r="CI113" s="159"/>
      <c r="CJ113" s="159"/>
      <c r="CK113" s="159"/>
      <c r="CL113" s="159"/>
      <c r="CM113" s="159"/>
      <c r="CN113" s="159"/>
      <c r="CO113" s="159"/>
      <c r="CP113" s="159"/>
      <c r="CQ113" s="159"/>
      <c r="CR113" s="159"/>
      <c r="CS113" s="159"/>
      <c r="CT113" s="159"/>
      <c r="CU113" s="159"/>
      <c r="CV113" s="159"/>
      <c r="CW113" s="159"/>
      <c r="CX113" s="159"/>
      <c r="CY113" s="159"/>
      <c r="CZ113" s="159"/>
      <c r="DA113" s="159"/>
      <c r="DB113" s="159"/>
      <c r="DC113" s="159"/>
      <c r="DD113" s="159"/>
      <c r="DE113" s="159"/>
      <c r="DF113" s="159"/>
      <c r="DG113" s="159"/>
      <c r="DH113" s="159"/>
      <c r="DI113" s="159"/>
      <c r="DJ113" s="159"/>
      <c r="DK113" s="159"/>
      <c r="DL113" s="159"/>
      <c r="DM113" s="159"/>
      <c r="DN113" s="159"/>
      <c r="DO113" s="159"/>
      <c r="DP113" s="159"/>
      <c r="DQ113" s="159"/>
      <c r="DR113" s="159"/>
      <c r="DS113" s="159"/>
      <c r="DT113" s="159"/>
      <c r="DU113" s="159"/>
      <c r="DV113" s="159"/>
      <c r="DW113" s="159"/>
      <c r="DX113" s="159"/>
      <c r="DY113" s="159"/>
      <c r="DZ113" s="159"/>
      <c r="EA113" s="159"/>
      <c r="EB113" s="159"/>
      <c r="EC113" s="159"/>
      <c r="ED113" s="159"/>
      <c r="EE113" s="159"/>
      <c r="EF113" s="159"/>
      <c r="EG113" s="159"/>
      <c r="EH113" s="159"/>
      <c r="EI113" s="159"/>
      <c r="EJ113" s="159"/>
      <c r="EK113" s="159"/>
      <c r="EL113" s="159"/>
      <c r="EM113" s="159"/>
      <c r="EN113" s="159"/>
      <c r="EO113" s="159"/>
      <c r="EP113" s="159"/>
      <c r="EQ113" s="159"/>
      <c r="ER113" s="159"/>
      <c r="ES113" s="159"/>
      <c r="ET113" s="159"/>
      <c r="EU113" s="159"/>
      <c r="EV113" s="159"/>
      <c r="EW113" s="159"/>
      <c r="EX113" s="159"/>
      <c r="EY113" s="159"/>
      <c r="EZ113" s="159"/>
      <c r="FA113" s="159"/>
      <c r="FB113" s="159"/>
      <c r="FC113" s="159"/>
      <c r="FD113" s="159"/>
      <c r="FE113" s="159"/>
      <c r="FF113" s="159"/>
      <c r="FG113" s="159"/>
      <c r="FH113" s="159"/>
      <c r="FI113" s="159"/>
      <c r="FJ113" s="159"/>
      <c r="FK113" s="159"/>
      <c r="FL113" s="159"/>
      <c r="FM113" s="159"/>
      <c r="FN113" s="159"/>
      <c r="FO113" s="159"/>
      <c r="FP113" s="159"/>
      <c r="FQ113" s="159"/>
      <c r="FR113" s="159"/>
      <c r="FS113" s="159"/>
      <c r="FT113" s="159"/>
      <c r="FU113" s="159"/>
      <c r="FV113" s="159"/>
      <c r="FW113" s="159"/>
      <c r="FX113" s="159"/>
      <c r="FY113" s="159"/>
      <c r="FZ113" s="159"/>
      <c r="GA113" s="159"/>
      <c r="GB113" s="159"/>
      <c r="GC113" s="159"/>
      <c r="GD113" s="159"/>
      <c r="GE113" s="159"/>
      <c r="GF113" s="159"/>
      <c r="GG113" s="159"/>
      <c r="GH113" s="159"/>
      <c r="GI113" s="159"/>
      <c r="GJ113" s="159"/>
      <c r="GK113" s="159"/>
      <c r="GL113" s="159"/>
      <c r="GM113" s="159"/>
      <c r="GN113" s="159"/>
      <c r="GO113" s="159"/>
      <c r="GP113" s="159"/>
      <c r="GQ113" s="159"/>
      <c r="GR113" s="159"/>
      <c r="GS113" s="159"/>
      <c r="GT113" s="159"/>
      <c r="GU113" s="159"/>
      <c r="GV113" s="159"/>
      <c r="GW113" s="159"/>
      <c r="GX113" s="159"/>
      <c r="GY113" s="159"/>
      <c r="GZ113" s="159"/>
      <c r="HA113" s="159"/>
      <c r="HB113" s="159"/>
      <c r="HC113" s="159"/>
      <c r="HD113" s="159"/>
      <c r="HE113" s="159"/>
      <c r="HF113" s="159"/>
      <c r="HG113" s="159"/>
      <c r="HH113" s="159"/>
      <c r="HI113" s="159"/>
      <c r="HJ113" s="159"/>
      <c r="HK113" s="159"/>
      <c r="HL113" s="159"/>
      <c r="HM113" s="159"/>
      <c r="HN113" s="159"/>
      <c r="HO113" s="159"/>
      <c r="HP113" s="159"/>
      <c r="HQ113" s="159"/>
      <c r="HR113" s="159"/>
      <c r="HS113" s="159"/>
      <c r="HT113" s="159"/>
      <c r="HU113" s="159"/>
      <c r="HV113" s="159"/>
      <c r="HW113" s="159"/>
      <c r="HX113" s="159"/>
      <c r="HY113" s="159"/>
      <c r="HZ113" s="159"/>
      <c r="IA113" s="159"/>
      <c r="IB113" s="159"/>
      <c r="IC113" s="159"/>
      <c r="ID113" s="159"/>
      <c r="IE113" s="159"/>
      <c r="IF113" s="159"/>
      <c r="IG113" s="159"/>
      <c r="IH113" s="159"/>
      <c r="II113" s="159"/>
      <c r="IJ113" s="159"/>
      <c r="IK113" s="159"/>
      <c r="IL113" s="159"/>
      <c r="IM113" s="159"/>
      <c r="IN113" s="159"/>
      <c r="IO113" s="159"/>
      <c r="IP113" s="159"/>
      <c r="IQ113" s="159"/>
      <c r="IR113" s="159"/>
      <c r="IS113" s="159"/>
      <c r="IT113" s="159"/>
      <c r="IU113" s="159"/>
      <c r="IV113" s="159"/>
    </row>
    <row r="114" spans="6:256" hidden="1" x14ac:dyDescent="0.2">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159"/>
      <c r="BI114" s="159"/>
      <c r="BJ114" s="159"/>
      <c r="BK114" s="159"/>
      <c r="BL114" s="159"/>
      <c r="BM114" s="159"/>
      <c r="BN114" s="159"/>
      <c r="BO114" s="159"/>
      <c r="BP114" s="159"/>
      <c r="BQ114" s="159"/>
      <c r="BR114" s="159"/>
      <c r="BS114" s="159"/>
      <c r="BT114" s="159"/>
      <c r="BU114" s="159"/>
      <c r="BV114" s="159"/>
      <c r="BW114" s="159"/>
      <c r="BX114" s="159"/>
      <c r="BY114" s="159"/>
      <c r="BZ114" s="159"/>
      <c r="CA114" s="159"/>
      <c r="CB114" s="159"/>
      <c r="CC114" s="159"/>
      <c r="CD114" s="159"/>
      <c r="CE114" s="159"/>
      <c r="CF114" s="159"/>
      <c r="CG114" s="159"/>
      <c r="CH114" s="159"/>
      <c r="CI114" s="159"/>
      <c r="CJ114" s="159"/>
      <c r="CK114" s="159"/>
      <c r="CL114" s="159"/>
      <c r="CM114" s="159"/>
      <c r="CN114" s="159"/>
      <c r="CO114" s="159"/>
      <c r="CP114" s="159"/>
      <c r="CQ114" s="159"/>
      <c r="CR114" s="159"/>
      <c r="CS114" s="159"/>
      <c r="CT114" s="159"/>
      <c r="CU114" s="159"/>
      <c r="CV114" s="159"/>
      <c r="CW114" s="159"/>
      <c r="CX114" s="159"/>
      <c r="CY114" s="159"/>
      <c r="CZ114" s="159"/>
      <c r="DA114" s="159"/>
      <c r="DB114" s="159"/>
      <c r="DC114" s="159"/>
      <c r="DD114" s="159"/>
      <c r="DE114" s="159"/>
      <c r="DF114" s="159"/>
      <c r="DG114" s="159"/>
      <c r="DH114" s="159"/>
      <c r="DI114" s="159"/>
      <c r="DJ114" s="159"/>
      <c r="DK114" s="159"/>
      <c r="DL114" s="159"/>
      <c r="DM114" s="159"/>
      <c r="DN114" s="159"/>
      <c r="DO114" s="159"/>
      <c r="DP114" s="159"/>
      <c r="DQ114" s="159"/>
      <c r="DR114" s="159"/>
      <c r="DS114" s="159"/>
      <c r="DT114" s="159"/>
      <c r="DU114" s="159"/>
      <c r="DV114" s="159"/>
      <c r="DW114" s="159"/>
      <c r="DX114" s="159"/>
      <c r="DY114" s="159"/>
      <c r="DZ114" s="159"/>
      <c r="EA114" s="159"/>
      <c r="EB114" s="159"/>
      <c r="EC114" s="159"/>
      <c r="ED114" s="159"/>
      <c r="EE114" s="159"/>
      <c r="EF114" s="159"/>
      <c r="EG114" s="159"/>
      <c r="EH114" s="159"/>
      <c r="EI114" s="159"/>
      <c r="EJ114" s="159"/>
      <c r="EK114" s="159"/>
      <c r="EL114" s="159"/>
      <c r="EM114" s="159"/>
      <c r="EN114" s="159"/>
      <c r="EO114" s="159"/>
      <c r="EP114" s="159"/>
      <c r="EQ114" s="159"/>
      <c r="ER114" s="159"/>
      <c r="ES114" s="159"/>
      <c r="ET114" s="159"/>
      <c r="EU114" s="159"/>
      <c r="EV114" s="159"/>
      <c r="EW114" s="159"/>
      <c r="EX114" s="159"/>
      <c r="EY114" s="159"/>
      <c r="EZ114" s="159"/>
      <c r="FA114" s="159"/>
      <c r="FB114" s="159"/>
      <c r="FC114" s="159"/>
      <c r="FD114" s="159"/>
      <c r="FE114" s="159"/>
      <c r="FF114" s="159"/>
      <c r="FG114" s="159"/>
      <c r="FH114" s="159"/>
      <c r="FI114" s="159"/>
      <c r="FJ114" s="159"/>
      <c r="FK114" s="159"/>
      <c r="FL114" s="159"/>
      <c r="FM114" s="159"/>
      <c r="FN114" s="159"/>
      <c r="FO114" s="159"/>
      <c r="FP114" s="159"/>
      <c r="FQ114" s="159"/>
      <c r="FR114" s="159"/>
      <c r="FS114" s="159"/>
      <c r="FT114" s="159"/>
      <c r="FU114" s="159"/>
      <c r="FV114" s="159"/>
      <c r="FW114" s="159"/>
      <c r="FX114" s="159"/>
      <c r="FY114" s="159"/>
      <c r="FZ114" s="159"/>
      <c r="GA114" s="159"/>
      <c r="GB114" s="159"/>
      <c r="GC114" s="159"/>
      <c r="GD114" s="159"/>
      <c r="GE114" s="159"/>
      <c r="GF114" s="159"/>
      <c r="GG114" s="159"/>
      <c r="GH114" s="159"/>
      <c r="GI114" s="159"/>
      <c r="GJ114" s="159"/>
      <c r="GK114" s="159"/>
      <c r="GL114" s="159"/>
      <c r="GM114" s="159"/>
      <c r="GN114" s="159"/>
      <c r="GO114" s="159"/>
      <c r="GP114" s="159"/>
      <c r="GQ114" s="159"/>
      <c r="GR114" s="159"/>
      <c r="GS114" s="159"/>
      <c r="GT114" s="159"/>
      <c r="GU114" s="159"/>
      <c r="GV114" s="159"/>
      <c r="GW114" s="159"/>
      <c r="GX114" s="159"/>
      <c r="GY114" s="159"/>
      <c r="GZ114" s="159"/>
      <c r="HA114" s="159"/>
      <c r="HB114" s="159"/>
      <c r="HC114" s="159"/>
      <c r="HD114" s="159"/>
      <c r="HE114" s="159"/>
      <c r="HF114" s="159"/>
      <c r="HG114" s="159"/>
      <c r="HH114" s="159"/>
      <c r="HI114" s="159"/>
      <c r="HJ114" s="159"/>
      <c r="HK114" s="159"/>
      <c r="HL114" s="159"/>
      <c r="HM114" s="159"/>
      <c r="HN114" s="159"/>
      <c r="HO114" s="159"/>
      <c r="HP114" s="159"/>
      <c r="HQ114" s="159"/>
      <c r="HR114" s="159"/>
      <c r="HS114" s="159"/>
      <c r="HT114" s="159"/>
      <c r="HU114" s="159"/>
      <c r="HV114" s="159"/>
      <c r="HW114" s="159"/>
      <c r="HX114" s="159"/>
      <c r="HY114" s="159"/>
      <c r="HZ114" s="159"/>
      <c r="IA114" s="159"/>
      <c r="IB114" s="159"/>
      <c r="IC114" s="159"/>
      <c r="ID114" s="159"/>
      <c r="IE114" s="159"/>
      <c r="IF114" s="159"/>
      <c r="IG114" s="159"/>
      <c r="IH114" s="159"/>
      <c r="II114" s="159"/>
      <c r="IJ114" s="159"/>
      <c r="IK114" s="159"/>
      <c r="IL114" s="159"/>
      <c r="IM114" s="159"/>
      <c r="IN114" s="159"/>
      <c r="IO114" s="159"/>
      <c r="IP114" s="159"/>
      <c r="IQ114" s="159"/>
      <c r="IR114" s="159"/>
      <c r="IS114" s="159"/>
      <c r="IT114" s="159"/>
      <c r="IU114" s="159"/>
      <c r="IV114" s="159"/>
    </row>
    <row r="120" spans="6:256" hidden="1" x14ac:dyDescent="0.2">
      <c r="F120" s="128"/>
      <c r="G120" s="128"/>
      <c r="H120" s="128"/>
      <c r="I120" s="128"/>
      <c r="J120" s="128"/>
    </row>
  </sheetData>
  <sheetProtection sheet="1"/>
  <pageMargins left="0.70866141732283472" right="0.70866141732283472" top="0.74803149606299213" bottom="0.74803149606299213" header="0.31496062992125984" footer="0.31496062992125984"/>
  <pageSetup paperSize="9" scale="76" orientation="portrait" r:id="rId1"/>
  <rowBreaks count="1" manualBreakCount="1">
    <brk id="8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IV22"/>
  <sheetViews>
    <sheetView showGridLines="0" zoomScaleNormal="100" workbookViewId="0">
      <pane ySplit="2" topLeftCell="A3" activePane="bottomLeft" state="frozen"/>
      <selection pane="bottomLeft" activeCell="A12" sqref="A12"/>
    </sheetView>
  </sheetViews>
  <sheetFormatPr defaultColWidth="0" defaultRowHeight="11.25" zeroHeight="1" x14ac:dyDescent="0.2"/>
  <cols>
    <col min="1" max="1" width="40.7109375" style="78" customWidth="1"/>
    <col min="2" max="10" width="8.85546875" style="78" customWidth="1"/>
    <col min="11" max="11" width="2.140625" style="78" customWidth="1"/>
    <col min="12" max="16384" width="0" style="78" hidden="1"/>
  </cols>
  <sheetData>
    <row r="1" spans="1:256" s="155" customFormat="1" ht="12.75" x14ac:dyDescent="0.2">
      <c r="A1" s="153" t="s">
        <v>371</v>
      </c>
      <c r="B1" s="153"/>
      <c r="C1" s="153"/>
      <c r="D1" s="153"/>
      <c r="E1" s="154"/>
      <c r="F1" s="154"/>
      <c r="G1" s="154"/>
      <c r="H1" s="154"/>
      <c r="I1" s="154"/>
      <c r="J1" s="154"/>
      <c r="K1" s="154"/>
    </row>
    <row r="2" spans="1:256" ht="12" customHeight="1" x14ac:dyDescent="0.2">
      <c r="A2" s="124"/>
      <c r="B2" s="124"/>
      <c r="C2" s="124"/>
      <c r="D2" s="133"/>
      <c r="E2" s="156"/>
      <c r="F2" s="156"/>
      <c r="G2" s="156"/>
      <c r="H2" s="156"/>
      <c r="I2" s="156"/>
      <c r="J2" s="156"/>
    </row>
    <row r="3" spans="1:256" ht="12" customHeight="1" x14ac:dyDescent="0.2">
      <c r="A3" s="145" t="str">
        <f>"Vrije geldstroom             "&amp;"(bedragen x € "&amp;IF('Invoer algemeen en balans'!$D$4="x 1.000","1.000",1)&amp;")"</f>
        <v>Vrije geldstroom             (bedragen x € 1.000)</v>
      </c>
      <c r="B3" s="117"/>
      <c r="C3" s="117"/>
      <c r="D3" s="83">
        <f>'Invoer algemeen en balans'!D3</f>
        <v>2020</v>
      </c>
      <c r="E3" s="117">
        <f>'Invoer algemeen en balans'!D3+1</f>
        <v>2021</v>
      </c>
      <c r="F3" s="117">
        <f>E3+1</f>
        <v>2022</v>
      </c>
      <c r="G3" s="117">
        <f>F3+1</f>
        <v>2023</v>
      </c>
      <c r="H3" s="117">
        <f>G3+1</f>
        <v>2024</v>
      </c>
      <c r="I3" s="117">
        <f>H3+1</f>
        <v>2025</v>
      </c>
      <c r="J3" s="117">
        <f>I3+1</f>
        <v>2026</v>
      </c>
    </row>
    <row r="4" spans="1:256" ht="12" customHeight="1" x14ac:dyDescent="0.2">
      <c r="A4" s="78" t="s">
        <v>210</v>
      </c>
      <c r="D4" s="88"/>
      <c r="E4" s="88">
        <f>'Invoer exploitatie'!E91</f>
        <v>0</v>
      </c>
      <c r="F4" s="88">
        <f>'Invoer exploitatie'!F91</f>
        <v>0</v>
      </c>
      <c r="G4" s="88">
        <f>'Invoer exploitatie'!G91</f>
        <v>0</v>
      </c>
      <c r="H4" s="88">
        <f>'Invoer exploitatie'!H91</f>
        <v>0</v>
      </c>
      <c r="I4" s="88">
        <f>'Invoer exploitatie'!I91</f>
        <v>0</v>
      </c>
      <c r="J4" s="88">
        <f>'Invoer exploitatie'!J91</f>
        <v>0</v>
      </c>
    </row>
    <row r="5" spans="1:256" ht="12" customHeight="1" x14ac:dyDescent="0.2">
      <c r="A5" s="78" t="s">
        <v>55</v>
      </c>
      <c r="D5" s="134"/>
      <c r="E5" s="167">
        <f>'Invoer algemeen en balans'!E54-'Invoer algemeen en balans'!D54</f>
        <v>0</v>
      </c>
      <c r="F5" s="167">
        <f>'Invoer algemeen en balans'!F54-'Invoer algemeen en balans'!E54</f>
        <v>0</v>
      </c>
      <c r="G5" s="167">
        <f>'Invoer algemeen en balans'!G54-'Invoer algemeen en balans'!F54</f>
        <v>0</v>
      </c>
      <c r="H5" s="167">
        <f>'Invoer algemeen en balans'!H54-'Invoer algemeen en balans'!G54</f>
        <v>0</v>
      </c>
      <c r="I5" s="167">
        <f>'Invoer algemeen en balans'!I54-'Invoer algemeen en balans'!H54</f>
        <v>0</v>
      </c>
      <c r="J5" s="167">
        <f>'Invoer algemeen en balans'!J54-'Invoer algemeen en balans'!I54</f>
        <v>0</v>
      </c>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c r="IR5" s="88"/>
      <c r="IS5" s="88"/>
      <c r="IT5" s="88"/>
      <c r="IU5" s="88"/>
      <c r="IV5" s="88"/>
    </row>
    <row r="6" spans="1:256" ht="12" customHeight="1" x14ac:dyDescent="0.2">
      <c r="A6" s="78" t="s">
        <v>211</v>
      </c>
      <c r="D6" s="88"/>
      <c r="E6" s="88">
        <f t="shared" ref="E6:J6" si="0">E4+E5</f>
        <v>0</v>
      </c>
      <c r="F6" s="88">
        <f t="shared" si="0"/>
        <v>0</v>
      </c>
      <c r="G6" s="88">
        <f t="shared" si="0"/>
        <v>0</v>
      </c>
      <c r="H6" s="88">
        <f t="shared" si="0"/>
        <v>0</v>
      </c>
      <c r="I6" s="88">
        <f t="shared" si="0"/>
        <v>0</v>
      </c>
      <c r="J6" s="88">
        <f t="shared" si="0"/>
        <v>0</v>
      </c>
    </row>
    <row r="7" spans="1:256" ht="12" customHeight="1" x14ac:dyDescent="0.2">
      <c r="A7" s="2" t="s">
        <v>368</v>
      </c>
      <c r="B7" s="2"/>
      <c r="C7" s="2"/>
      <c r="D7" s="197"/>
      <c r="E7" s="197" t="e">
        <f t="shared" ref="E7:J7" si="1">E8/E4</f>
        <v>#DIV/0!</v>
      </c>
      <c r="F7" s="197" t="e">
        <f t="shared" si="1"/>
        <v>#DIV/0!</v>
      </c>
      <c r="G7" s="197" t="e">
        <f t="shared" si="1"/>
        <v>#DIV/0!</v>
      </c>
      <c r="H7" s="197" t="e">
        <f t="shared" si="1"/>
        <v>#DIV/0!</v>
      </c>
      <c r="I7" s="197" t="e">
        <f t="shared" si="1"/>
        <v>#DIV/0!</v>
      </c>
      <c r="J7" s="197" t="e">
        <f t="shared" si="1"/>
        <v>#DIV/0!</v>
      </c>
    </row>
    <row r="8" spans="1:256" ht="12" customHeight="1" x14ac:dyDescent="0.2">
      <c r="A8" s="77" t="s">
        <v>38</v>
      </c>
      <c r="B8" s="77"/>
      <c r="C8" s="77"/>
      <c r="E8" s="167">
        <f>-IF(E4&gt;'Invoer exploitatie'!E97,E4*'Invoer exploitatie'!E98-('Invoer exploitatie'!E98-'Invoer exploitatie'!E96)*'Invoer exploitatie'!E97,E4*'Invoer exploitatie'!E96)</f>
        <v>0</v>
      </c>
      <c r="F8" s="167">
        <f>-IF(F4&gt;'Invoer exploitatie'!F97,F4*'Invoer exploitatie'!F98-('Invoer exploitatie'!F98-'Invoer exploitatie'!F96)*'Invoer exploitatie'!F97,F4*'Invoer exploitatie'!F96)</f>
        <v>0</v>
      </c>
      <c r="G8" s="167">
        <f>-IF(G4&gt;'Invoer exploitatie'!G97,G4*'Invoer exploitatie'!G98-('Invoer exploitatie'!G98-'Invoer exploitatie'!G96)*'Invoer exploitatie'!G97,G4*'Invoer exploitatie'!G96)</f>
        <v>0</v>
      </c>
      <c r="H8" s="167">
        <f>-IF(H4&gt;'Invoer exploitatie'!H97,H4*'Invoer exploitatie'!H98-('Invoer exploitatie'!H98-'Invoer exploitatie'!H96)*'Invoer exploitatie'!H97,H4*'Invoer exploitatie'!H96)</f>
        <v>0</v>
      </c>
      <c r="I8" s="167">
        <f>-IF(I4&gt;'Invoer exploitatie'!I97,I4*'Invoer exploitatie'!I98-('Invoer exploitatie'!I98-'Invoer exploitatie'!I96)*'Invoer exploitatie'!I97,I4*'Invoer exploitatie'!I96)</f>
        <v>0</v>
      </c>
      <c r="J8" s="167">
        <f>-IF(J4&gt;'Invoer exploitatie'!J97,J4*'Invoer exploitatie'!J98-('Invoer exploitatie'!J98-'Invoer exploitatie'!J96)*'Invoer exploitatie'!J97,J4*'Invoer exploitatie'!J96)</f>
        <v>0</v>
      </c>
    </row>
    <row r="9" spans="1:256" ht="12" customHeight="1" x14ac:dyDescent="0.2">
      <c r="A9" s="78" t="s">
        <v>223</v>
      </c>
      <c r="E9" s="88">
        <f t="shared" ref="E9:J9" si="2">E6+E8</f>
        <v>0</v>
      </c>
      <c r="F9" s="88">
        <f t="shared" si="2"/>
        <v>0</v>
      </c>
      <c r="G9" s="88">
        <f t="shared" si="2"/>
        <v>0</v>
      </c>
      <c r="H9" s="88">
        <f t="shared" si="2"/>
        <v>0</v>
      </c>
      <c r="I9" s="88">
        <f t="shared" si="2"/>
        <v>0</v>
      </c>
      <c r="J9" s="88">
        <f t="shared" si="2"/>
        <v>0</v>
      </c>
    </row>
    <row r="10" spans="1:256" ht="12" customHeight="1" x14ac:dyDescent="0.2">
      <c r="A10" s="136" t="s">
        <v>37</v>
      </c>
      <c r="B10" s="136"/>
      <c r="C10" s="136"/>
      <c r="E10" s="167">
        <f>'Invoer exploitatie'!E88</f>
        <v>0</v>
      </c>
      <c r="F10" s="167">
        <f>'Invoer exploitatie'!F88</f>
        <v>0</v>
      </c>
      <c r="G10" s="167">
        <f>'Invoer exploitatie'!G88</f>
        <v>0</v>
      </c>
      <c r="H10" s="167">
        <f>'Invoer exploitatie'!H88</f>
        <v>0</v>
      </c>
      <c r="I10" s="167">
        <f>'Invoer exploitatie'!I88</f>
        <v>0</v>
      </c>
      <c r="J10" s="167">
        <f>'Invoer exploitatie'!J88</f>
        <v>0</v>
      </c>
    </row>
    <row r="11" spans="1:256" ht="12" customHeight="1" x14ac:dyDescent="0.2">
      <c r="A11" s="78" t="s">
        <v>214</v>
      </c>
      <c r="E11" s="88">
        <f t="shared" ref="E11:J11" si="3">E9+E10</f>
        <v>0</v>
      </c>
      <c r="F11" s="88">
        <f t="shared" si="3"/>
        <v>0</v>
      </c>
      <c r="G11" s="88">
        <f t="shared" si="3"/>
        <v>0</v>
      </c>
      <c r="H11" s="88">
        <f t="shared" si="3"/>
        <v>0</v>
      </c>
      <c r="I11" s="88">
        <f t="shared" si="3"/>
        <v>0</v>
      </c>
      <c r="J11" s="88">
        <f t="shared" si="3"/>
        <v>0</v>
      </c>
    </row>
    <row r="12" spans="1:256" ht="12" customHeight="1" x14ac:dyDescent="0.2">
      <c r="A12" s="78" t="s">
        <v>215</v>
      </c>
      <c r="E12" s="88">
        <f>'Invoer algemeen en balans'!E71</f>
        <v>0</v>
      </c>
      <c r="F12" s="88">
        <f>'Invoer algemeen en balans'!F71</f>
        <v>0</v>
      </c>
      <c r="G12" s="88">
        <f>'Invoer algemeen en balans'!G71</f>
        <v>0</v>
      </c>
      <c r="H12" s="88">
        <f>'Invoer algemeen en balans'!H71</f>
        <v>0</v>
      </c>
      <c r="I12" s="88">
        <f>'Invoer algemeen en balans'!I71</f>
        <v>0</v>
      </c>
      <c r="J12" s="88">
        <f>'Invoer algemeen en balans'!J71</f>
        <v>0</v>
      </c>
    </row>
    <row r="13" spans="1:256" ht="12" customHeight="1" x14ac:dyDescent="0.2">
      <c r="A13" s="78" t="s">
        <v>216</v>
      </c>
      <c r="E13" s="167">
        <f>-'Invoer algemeen en balans'!E23-'Invoer algemeen en balans'!E27-'Invoer algemeen en balans'!E30-'Invoer algemeen en balans'!E33-'Invoer algemeen en balans'!E36</f>
        <v>0</v>
      </c>
      <c r="F13" s="167">
        <f>-'Invoer algemeen en balans'!F23-'Invoer algemeen en balans'!F27-'Invoer algemeen en balans'!F30-'Invoer algemeen en balans'!F33-'Invoer algemeen en balans'!F36</f>
        <v>0</v>
      </c>
      <c r="G13" s="167">
        <f>-'Invoer algemeen en balans'!G23-'Invoer algemeen en balans'!G27-'Invoer algemeen en balans'!G30-'Invoer algemeen en balans'!G33-'Invoer algemeen en balans'!G36</f>
        <v>0</v>
      </c>
      <c r="H13" s="167">
        <f>-'Invoer algemeen en balans'!H23-'Invoer algemeen en balans'!H27-'Invoer algemeen en balans'!H30-'Invoer algemeen en balans'!H33-'Invoer algemeen en balans'!H36</f>
        <v>0</v>
      </c>
      <c r="I13" s="167">
        <f>-'Invoer algemeen en balans'!I23-'Invoer algemeen en balans'!I27-'Invoer algemeen en balans'!I30-'Invoer algemeen en balans'!I33-'Invoer algemeen en balans'!I36</f>
        <v>0</v>
      </c>
      <c r="J13" s="167">
        <f>-'Invoer algemeen en balans'!J23-'Invoer algemeen en balans'!J27-'Invoer algemeen en balans'!J30-'Invoer algemeen en balans'!J33-'Invoer algemeen en balans'!J36</f>
        <v>0</v>
      </c>
    </row>
    <row r="14" spans="1:256" ht="12" customHeight="1" x14ac:dyDescent="0.2">
      <c r="A14" s="135" t="s">
        <v>45</v>
      </c>
      <c r="B14" s="135"/>
      <c r="C14" s="135"/>
      <c r="D14" s="135"/>
      <c r="E14" s="134">
        <f t="shared" ref="E14:J14" si="4">E11+E12+E13</f>
        <v>0</v>
      </c>
      <c r="F14" s="134">
        <f t="shared" si="4"/>
        <v>0</v>
      </c>
      <c r="G14" s="134">
        <f t="shared" si="4"/>
        <v>0</v>
      </c>
      <c r="H14" s="134">
        <f t="shared" si="4"/>
        <v>0</v>
      </c>
      <c r="I14" s="134">
        <f t="shared" si="4"/>
        <v>0</v>
      </c>
      <c r="J14" s="134">
        <f t="shared" si="4"/>
        <v>0</v>
      </c>
    </row>
    <row r="15" spans="1:256" ht="12" customHeight="1" x14ac:dyDescent="0.2">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59"/>
      <c r="HO15" s="159"/>
      <c r="HP15" s="159"/>
      <c r="HQ15" s="159"/>
      <c r="HR15" s="159"/>
      <c r="HS15" s="159"/>
      <c r="HT15" s="159"/>
      <c r="HU15" s="159"/>
      <c r="HV15" s="159"/>
      <c r="HW15" s="159"/>
      <c r="HX15" s="159"/>
      <c r="HY15" s="159"/>
      <c r="HZ15" s="159"/>
      <c r="IA15" s="159"/>
      <c r="IB15" s="159"/>
      <c r="IC15" s="159"/>
      <c r="ID15" s="159"/>
      <c r="IE15" s="159"/>
      <c r="IF15" s="159"/>
      <c r="IG15" s="159"/>
      <c r="IH15" s="159"/>
      <c r="II15" s="159"/>
      <c r="IJ15" s="159"/>
      <c r="IK15" s="159"/>
      <c r="IL15" s="159"/>
      <c r="IM15" s="159"/>
      <c r="IN15" s="159"/>
      <c r="IO15" s="159"/>
      <c r="IP15" s="159"/>
      <c r="IQ15" s="159"/>
      <c r="IR15" s="159"/>
      <c r="IS15" s="159"/>
      <c r="IT15" s="159"/>
      <c r="IU15" s="159"/>
      <c r="IV15" s="159"/>
    </row>
    <row r="16" spans="1:256" ht="12" customHeight="1" x14ac:dyDescent="0.2">
      <c r="A16" s="255" t="str">
        <f>IF(E16&amp;F16&amp;G16&amp;H16&amp;I16&amp;J16="","","In de gemarkeerde kolom(men) is een jaar met een mutatie werkkapitaal &gt;5% van de waarde")</f>
        <v/>
      </c>
      <c r="B16" s="255"/>
      <c r="C16" s="255"/>
      <c r="D16" s="255"/>
      <c r="E16" s="181" t="str">
        <f>IF(E12=0,"",IF(ABS(E12)/APV!$I$28&gt;5%,"X",""))</f>
        <v/>
      </c>
      <c r="F16" s="181" t="str">
        <f>IF(F12=0,"",IF(ABS(F12)/APV!$I$28&gt;5%,"X",""))</f>
        <v/>
      </c>
      <c r="G16" s="181" t="str">
        <f>IF(G12=0,"",IF(ABS(G12)/APV!$I$28&gt;5%,"X",""))</f>
        <v/>
      </c>
      <c r="H16" s="181" t="str">
        <f>IF(H12=0,"",IF(ABS(H12)/APV!$I$28&gt;5%,"X",""))</f>
        <v/>
      </c>
      <c r="I16" s="181" t="str">
        <f>IF(I12=0,"",IF(ABS(I12)/APV!$I$28&gt;5%,"X",""))</f>
        <v/>
      </c>
      <c r="J16" s="181" t="str">
        <f>IF(J12=0,"",IF(ABS(J12)/APV!$I$28&gt;5%,"X",""))</f>
        <v/>
      </c>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c r="FM16" s="159"/>
      <c r="FN16" s="159"/>
      <c r="FO16" s="159"/>
      <c r="FP16" s="159"/>
      <c r="FQ16" s="159"/>
      <c r="FR16" s="159"/>
      <c r="FS16" s="159"/>
      <c r="FT16" s="159"/>
      <c r="FU16" s="159"/>
      <c r="FV16" s="159"/>
      <c r="FW16" s="159"/>
      <c r="FX16" s="159"/>
      <c r="FY16" s="159"/>
      <c r="FZ16" s="159"/>
      <c r="GA16" s="159"/>
      <c r="GB16" s="159"/>
      <c r="GC16" s="159"/>
      <c r="GD16" s="159"/>
      <c r="GE16" s="159"/>
      <c r="GF16" s="159"/>
      <c r="GG16" s="159"/>
      <c r="GH16" s="159"/>
      <c r="GI16" s="159"/>
      <c r="GJ16" s="159"/>
      <c r="GK16" s="159"/>
      <c r="GL16" s="159"/>
      <c r="GM16" s="159"/>
      <c r="GN16" s="159"/>
      <c r="GO16" s="159"/>
      <c r="GP16" s="159"/>
      <c r="GQ16" s="159"/>
      <c r="GR16" s="159"/>
      <c r="GS16" s="159"/>
      <c r="GT16" s="159"/>
      <c r="GU16" s="159"/>
      <c r="GV16" s="159"/>
      <c r="GW16" s="159"/>
      <c r="GX16" s="159"/>
      <c r="GY16" s="159"/>
      <c r="GZ16" s="159"/>
      <c r="HA16" s="159"/>
      <c r="HB16" s="159"/>
      <c r="HC16" s="159"/>
      <c r="HD16" s="159"/>
      <c r="HE16" s="159"/>
      <c r="HF16" s="159"/>
      <c r="HG16" s="159"/>
      <c r="HH16" s="159"/>
      <c r="HI16" s="159"/>
      <c r="HJ16" s="159"/>
      <c r="HK16" s="159"/>
      <c r="HL16" s="159"/>
      <c r="HM16" s="159"/>
      <c r="HN16" s="159"/>
      <c r="HO16" s="159"/>
      <c r="HP16" s="159"/>
      <c r="HQ16" s="159"/>
      <c r="HR16" s="159"/>
      <c r="HS16" s="159"/>
      <c r="HT16" s="159"/>
      <c r="HU16" s="159"/>
      <c r="HV16" s="159"/>
      <c r="HW16" s="159"/>
      <c r="HX16" s="159"/>
      <c r="HY16" s="159"/>
      <c r="HZ16" s="159"/>
      <c r="IA16" s="159"/>
      <c r="IB16" s="159"/>
      <c r="IC16" s="159"/>
      <c r="ID16" s="159"/>
      <c r="IE16" s="159"/>
      <c r="IF16" s="159"/>
      <c r="IG16" s="159"/>
      <c r="IH16" s="159"/>
      <c r="II16" s="159"/>
      <c r="IJ16" s="159"/>
      <c r="IK16" s="159"/>
      <c r="IL16" s="159"/>
      <c r="IM16" s="159"/>
      <c r="IN16" s="159"/>
      <c r="IO16" s="159"/>
      <c r="IP16" s="159"/>
      <c r="IQ16" s="159"/>
      <c r="IR16" s="159"/>
      <c r="IS16" s="159"/>
      <c r="IT16" s="159"/>
      <c r="IU16" s="159"/>
      <c r="IV16" s="159"/>
    </row>
    <row r="17" spans="6:10" ht="12" customHeight="1" x14ac:dyDescent="0.2"/>
    <row r="18" spans="6:10" ht="12" customHeight="1" x14ac:dyDescent="0.2"/>
    <row r="19" spans="6:10" ht="12" customHeight="1" x14ac:dyDescent="0.2"/>
    <row r="20" spans="6:10" ht="12" customHeight="1" x14ac:dyDescent="0.2"/>
    <row r="22" spans="6:10" hidden="1" x14ac:dyDescent="0.2">
      <c r="F22" s="128"/>
      <c r="G22" s="128"/>
      <c r="H22" s="128"/>
      <c r="I22" s="128"/>
      <c r="J22" s="128"/>
    </row>
  </sheetData>
  <sheetProtection sheet="1"/>
  <mergeCells count="1">
    <mergeCell ref="A16:D16"/>
  </mergeCell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A1:D963"/>
  <sheetViews>
    <sheetView showGridLines="0" tabSelected="1" workbookViewId="0">
      <selection activeCell="A6" sqref="A6"/>
    </sheetView>
  </sheetViews>
  <sheetFormatPr defaultColWidth="0" defaultRowHeight="15" zeroHeight="1" x14ac:dyDescent="0.25"/>
  <cols>
    <col min="1" max="1" width="60.5703125" style="138" bestFit="1" customWidth="1"/>
    <col min="2" max="3" width="8.85546875" style="138" customWidth="1"/>
    <col min="4" max="4" width="27" style="138" bestFit="1" customWidth="1"/>
    <col min="5" max="16384" width="0" style="138" hidden="1"/>
  </cols>
  <sheetData>
    <row r="1" spans="1:4" x14ac:dyDescent="0.25">
      <c r="A1" s="189" t="s">
        <v>0</v>
      </c>
      <c r="B1" s="190"/>
      <c r="C1" s="190"/>
      <c r="D1" s="190"/>
    </row>
    <row r="2" spans="1:4" ht="11.25" customHeight="1" x14ac:dyDescent="0.25">
      <c r="A2" s="86"/>
      <c r="B2" s="86"/>
      <c r="C2" s="86"/>
      <c r="D2" s="86"/>
    </row>
    <row r="3" spans="1:4" ht="12" customHeight="1" x14ac:dyDescent="0.25">
      <c r="A3" s="81" t="s">
        <v>319</v>
      </c>
      <c r="B3" s="81"/>
      <c r="C3" s="81"/>
      <c r="D3" s="86"/>
    </row>
    <row r="4" spans="1:4" ht="12" customHeight="1" x14ac:dyDescent="0.25">
      <c r="A4" s="86" t="s">
        <v>1</v>
      </c>
      <c r="C4" s="4">
        <v>3.5000000000000003E-2</v>
      </c>
      <c r="D4" s="5"/>
    </row>
    <row r="5" spans="1:4" ht="12" customHeight="1" x14ac:dyDescent="0.25">
      <c r="A5" s="86" t="s">
        <v>2</v>
      </c>
      <c r="C5" s="4">
        <v>5.8000000000000003E-2</v>
      </c>
      <c r="D5" s="7"/>
    </row>
    <row r="6" spans="1:4" ht="12" customHeight="1" x14ac:dyDescent="0.25">
      <c r="A6" s="86" t="s">
        <v>3</v>
      </c>
      <c r="B6" s="9">
        <v>1</v>
      </c>
      <c r="C6" s="6">
        <f>2%*B6</f>
        <v>0.02</v>
      </c>
      <c r="D6" s="139" t="s">
        <v>337</v>
      </c>
    </row>
    <row r="7" spans="1:4" ht="12" customHeight="1" x14ac:dyDescent="0.25">
      <c r="A7" s="86" t="s">
        <v>4</v>
      </c>
      <c r="B7" s="9">
        <v>0.5</v>
      </c>
      <c r="C7" s="6">
        <f>B7*D7</f>
        <v>8.6999999999999994E-3</v>
      </c>
      <c r="D7" s="140">
        <v>1.7399999999999999E-2</v>
      </c>
    </row>
    <row r="8" spans="1:4" ht="12" customHeight="1" x14ac:dyDescent="0.25">
      <c r="A8" s="86" t="s">
        <v>5</v>
      </c>
      <c r="B8" s="9">
        <v>0.5</v>
      </c>
      <c r="C8" s="6">
        <f t="shared" ref="C8:C13" si="0">B8*D8</f>
        <v>6.3E-3</v>
      </c>
      <c r="D8" s="140">
        <v>1.26E-2</v>
      </c>
    </row>
    <row r="9" spans="1:4" ht="12" customHeight="1" x14ac:dyDescent="0.25">
      <c r="A9" s="86" t="s">
        <v>6</v>
      </c>
      <c r="B9" s="9">
        <v>0.5</v>
      </c>
      <c r="C9" s="6">
        <f t="shared" si="0"/>
        <v>7.8499999999999993E-3</v>
      </c>
      <c r="D9" s="140">
        <v>1.5699999999999999E-2</v>
      </c>
    </row>
    <row r="10" spans="1:4" ht="12" customHeight="1" x14ac:dyDescent="0.25">
      <c r="A10" s="86" t="s">
        <v>7</v>
      </c>
      <c r="B10" s="9">
        <v>0.5</v>
      </c>
      <c r="C10" s="6">
        <f t="shared" si="0"/>
        <v>6.3E-3</v>
      </c>
      <c r="D10" s="140">
        <v>1.26E-2</v>
      </c>
    </row>
    <row r="11" spans="1:4" ht="12" customHeight="1" x14ac:dyDescent="0.25">
      <c r="A11" s="86" t="s">
        <v>202</v>
      </c>
      <c r="B11" s="9">
        <v>0.5</v>
      </c>
      <c r="C11" s="6">
        <f t="shared" si="0"/>
        <v>4.7000000000000002E-3</v>
      </c>
      <c r="D11" s="140">
        <v>9.4000000000000004E-3</v>
      </c>
    </row>
    <row r="12" spans="1:4" ht="12" customHeight="1" x14ac:dyDescent="0.25">
      <c r="A12" s="86" t="s">
        <v>200</v>
      </c>
      <c r="B12" s="9">
        <v>0.5</v>
      </c>
      <c r="C12" s="6">
        <f t="shared" si="0"/>
        <v>6.8500000000000002E-3</v>
      </c>
      <c r="D12" s="140">
        <v>1.37E-2</v>
      </c>
    </row>
    <row r="13" spans="1:4" ht="12" customHeight="1" x14ac:dyDescent="0.25">
      <c r="A13" s="86" t="s">
        <v>201</v>
      </c>
      <c r="B13" s="9">
        <v>0.5</v>
      </c>
      <c r="C13" s="6">
        <f t="shared" si="0"/>
        <v>5.2500000000000003E-3</v>
      </c>
      <c r="D13" s="140">
        <v>1.0500000000000001E-2</v>
      </c>
    </row>
    <row r="14" spans="1:4" ht="12" customHeight="1" x14ac:dyDescent="0.25">
      <c r="A14" s="86" t="s">
        <v>8</v>
      </c>
      <c r="B14" s="6"/>
      <c r="C14" s="4">
        <v>0</v>
      </c>
      <c r="D14" s="86" t="s">
        <v>9</v>
      </c>
    </row>
    <row r="15" spans="1:4" ht="12" customHeight="1" x14ac:dyDescent="0.25">
      <c r="A15" s="86" t="s">
        <v>10</v>
      </c>
      <c r="C15" s="141">
        <f>SUM(C4:C14)</f>
        <v>0.15895000000000001</v>
      </c>
      <c r="D15" s="142" t="str">
        <f>IF(keu&lt;15%,"&lt;15% is laag voor MKB-bedrijven"," ")</f>
        <v xml:space="preserve"> </v>
      </c>
    </row>
    <row r="16" spans="1:4" ht="12" customHeight="1" x14ac:dyDescent="0.25">
      <c r="A16" s="86" t="s">
        <v>366</v>
      </c>
      <c r="B16" s="141"/>
      <c r="C16" s="141"/>
      <c r="D16" s="86"/>
    </row>
    <row r="17" spans="1:4" ht="12" customHeight="1" x14ac:dyDescent="0.25">
      <c r="A17" s="86"/>
      <c r="B17" s="141"/>
      <c r="C17" s="141"/>
      <c r="D17" s="86"/>
    </row>
    <row r="18" spans="1:4" ht="12" customHeight="1" x14ac:dyDescent="0.25">
      <c r="A18" s="143" t="s">
        <v>11</v>
      </c>
      <c r="D18" s="86"/>
    </row>
    <row r="19" spans="1:4" ht="12" customHeight="1" x14ac:dyDescent="0.25">
      <c r="A19" s="144" t="s">
        <v>12</v>
      </c>
      <c r="D19" s="86"/>
    </row>
    <row r="20" spans="1:4" ht="12" customHeight="1" x14ac:dyDescent="0.25">
      <c r="A20" s="144" t="s">
        <v>13</v>
      </c>
      <c r="D20" s="86"/>
    </row>
    <row r="21" spans="1:4" ht="12" customHeight="1" x14ac:dyDescent="0.25">
      <c r="A21" s="144" t="s">
        <v>14</v>
      </c>
      <c r="D21" s="86"/>
    </row>
    <row r="22" spans="1:4" ht="12" customHeight="1" x14ac:dyDescent="0.25">
      <c r="A22" s="144" t="s">
        <v>15</v>
      </c>
      <c r="D22" s="86"/>
    </row>
    <row r="23" spans="1:4" ht="12" customHeight="1" x14ac:dyDescent="0.25">
      <c r="A23" s="144" t="s">
        <v>16</v>
      </c>
      <c r="D23" s="86"/>
    </row>
    <row r="24" spans="1:4" ht="12" customHeight="1" x14ac:dyDescent="0.25">
      <c r="A24" s="144" t="s">
        <v>17</v>
      </c>
      <c r="D24" s="86"/>
    </row>
    <row r="25" spans="1:4" ht="12" customHeight="1" x14ac:dyDescent="0.25"/>
    <row r="26" spans="1:4" ht="12" customHeight="1" x14ac:dyDescent="0.25">
      <c r="A26" s="86" t="s">
        <v>18</v>
      </c>
      <c r="C26" s="4">
        <v>0.5</v>
      </c>
      <c r="D26" s="86"/>
    </row>
    <row r="27" spans="1:4" ht="12" customHeight="1" x14ac:dyDescent="0.25">
      <c r="A27" s="86" t="s">
        <v>19</v>
      </c>
      <c r="C27" s="6">
        <f>1-C26</f>
        <v>0.5</v>
      </c>
      <c r="D27" s="86"/>
    </row>
    <row r="28" spans="1:4" ht="12" customHeight="1" x14ac:dyDescent="0.25">
      <c r="A28" s="86" t="s">
        <v>20</v>
      </c>
      <c r="C28" s="4">
        <v>6.5000000000000002E-2</v>
      </c>
      <c r="D28" s="86"/>
    </row>
    <row r="29" spans="1:4" ht="12" customHeight="1" x14ac:dyDescent="0.25">
      <c r="A29" s="86" t="s">
        <v>21</v>
      </c>
      <c r="C29" s="141">
        <f>keu+(keu-C28)*C26/C27</f>
        <v>0.25290000000000001</v>
      </c>
      <c r="D29" s="86"/>
    </row>
    <row r="30" spans="1:4" ht="12" customHeight="1" x14ac:dyDescent="0.25">
      <c r="A30" s="86" t="s">
        <v>22</v>
      </c>
      <c r="C30" s="8">
        <v>0.25</v>
      </c>
      <c r="D30" s="86"/>
    </row>
    <row r="31" spans="1:4" ht="12" customHeight="1" x14ac:dyDescent="0.25">
      <c r="A31" s="86" t="s">
        <v>23</v>
      </c>
      <c r="C31" s="141">
        <f>C27*C29+C26*C28*(1-tax)</f>
        <v>0.15082500000000001</v>
      </c>
      <c r="D31" s="86"/>
    </row>
    <row r="32" spans="1:4" ht="12" customHeight="1" x14ac:dyDescent="0.25">
      <c r="A32" s="86" t="s">
        <v>24</v>
      </c>
      <c r="C32" s="4">
        <v>0.25</v>
      </c>
      <c r="D32" s="86"/>
    </row>
    <row r="33" spans="1:4" ht="12" customHeight="1" x14ac:dyDescent="0.25">
      <c r="A33" s="86" t="s">
        <v>25</v>
      </c>
      <c r="C33" s="6">
        <f>keu+(keu-C28)*C32/(1-C32)</f>
        <v>0.19026666666666667</v>
      </c>
      <c r="D33" s="86"/>
    </row>
    <row r="34" spans="1:4" ht="12" customHeight="1" x14ac:dyDescent="0.25">
      <c r="A34" s="86" t="s">
        <v>26</v>
      </c>
      <c r="C34" s="6">
        <f>(1-C32)*C33+C32*C28*(1-tax)</f>
        <v>0.15488749999999998</v>
      </c>
      <c r="D34" s="86"/>
    </row>
    <row r="35" spans="1:4" ht="12" customHeight="1" x14ac:dyDescent="0.25"/>
    <row r="36" spans="1:4" x14ac:dyDescent="0.25"/>
    <row r="37" spans="1:4" x14ac:dyDescent="0.25">
      <c r="A37" s="256" t="s">
        <v>367</v>
      </c>
      <c r="B37" s="257"/>
      <c r="C37" s="258"/>
    </row>
    <row r="38" spans="1:4" ht="15" customHeight="1" x14ac:dyDescent="0.25">
      <c r="A38" s="259"/>
      <c r="B38" s="260"/>
      <c r="C38" s="261"/>
    </row>
    <row r="39" spans="1:4" ht="15" customHeight="1" x14ac:dyDescent="0.25">
      <c r="A39" s="259"/>
      <c r="B39" s="260"/>
      <c r="C39" s="261"/>
    </row>
    <row r="40" spans="1:4" ht="15" customHeight="1" x14ac:dyDescent="0.25">
      <c r="A40" s="259"/>
      <c r="B40" s="260"/>
      <c r="C40" s="261"/>
    </row>
    <row r="41" spans="1:4" ht="15" customHeight="1" x14ac:dyDescent="0.25">
      <c r="A41" s="259"/>
      <c r="B41" s="260"/>
      <c r="C41" s="261"/>
    </row>
    <row r="42" spans="1:4" ht="15" customHeight="1" x14ac:dyDescent="0.25">
      <c r="A42" s="259"/>
      <c r="B42" s="260"/>
      <c r="C42" s="261"/>
    </row>
    <row r="43" spans="1:4" ht="15" customHeight="1" x14ac:dyDescent="0.25">
      <c r="A43" s="259"/>
      <c r="B43" s="260"/>
      <c r="C43" s="261"/>
    </row>
    <row r="44" spans="1:4" ht="15" customHeight="1" x14ac:dyDescent="0.25">
      <c r="A44" s="259"/>
      <c r="B44" s="260"/>
      <c r="C44" s="261"/>
    </row>
    <row r="45" spans="1:4" ht="15" customHeight="1" x14ac:dyDescent="0.25">
      <c r="A45" s="259"/>
      <c r="B45" s="260"/>
      <c r="C45" s="261"/>
    </row>
    <row r="46" spans="1:4" ht="15" customHeight="1" x14ac:dyDescent="0.25">
      <c r="A46" s="262"/>
      <c r="B46" s="263"/>
      <c r="C46" s="264"/>
    </row>
    <row r="47" spans="1:4" x14ac:dyDescent="0.25">
      <c r="A47" s="262"/>
      <c r="B47" s="263"/>
      <c r="C47" s="264"/>
    </row>
    <row r="48" spans="1:4" x14ac:dyDescent="0.25">
      <c r="A48" s="262"/>
      <c r="B48" s="263"/>
      <c r="C48" s="264"/>
    </row>
    <row r="49" spans="1:3" x14ac:dyDescent="0.25">
      <c r="A49" s="265"/>
      <c r="B49" s="266"/>
      <c r="C49" s="267"/>
    </row>
    <row r="50" spans="1:3" x14ac:dyDescent="0.25"/>
    <row r="51" spans="1:3" x14ac:dyDescent="0.25"/>
    <row r="52" spans="1:3" x14ac:dyDescent="0.25"/>
    <row r="53" spans="1:3" x14ac:dyDescent="0.25"/>
    <row r="54" spans="1:3" x14ac:dyDescent="0.25"/>
    <row r="55" spans="1:3" x14ac:dyDescent="0.25"/>
    <row r="56" spans="1:3" x14ac:dyDescent="0.25"/>
    <row r="57" spans="1:3" x14ac:dyDescent="0.25"/>
    <row r="58" spans="1:3" x14ac:dyDescent="0.25"/>
    <row r="963" ht="3.75" hidden="1" customHeight="1" x14ac:dyDescent="0.25"/>
  </sheetData>
  <mergeCells count="1">
    <mergeCell ref="A37:C49"/>
  </mergeCells>
  <dataValidations count="1">
    <dataValidation type="decimal" errorStyle="information" allowBlank="1" showInputMessage="1" showErrorMessage="1" error="u dient een percentage van 0% tot 100% in te geven" prompt="kies een waarde van 0% tot 100%" sqref="B6:B13" xr:uid="{00000000-0002-0000-0400-000000000000}">
      <formula1>0</formula1>
      <formula2>1</formula2>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6"/>
  <sheetViews>
    <sheetView showGridLines="0" zoomScaleNormal="100" workbookViewId="0">
      <selection activeCell="A18" sqref="A18:E18"/>
    </sheetView>
  </sheetViews>
  <sheetFormatPr defaultColWidth="0" defaultRowHeight="15" customHeight="1" zeroHeight="1" x14ac:dyDescent="0.25"/>
  <cols>
    <col min="1" max="1" width="9.5703125" customWidth="1"/>
    <col min="2" max="2" width="6.28515625" bestFit="1" customWidth="1"/>
    <col min="3" max="7" width="8.7109375" customWidth="1"/>
  </cols>
  <sheetData>
    <row r="1" spans="1:7" s="24" customFormat="1" ht="14.25" x14ac:dyDescent="0.2">
      <c r="A1" s="28" t="s">
        <v>375</v>
      </c>
      <c r="B1" s="233"/>
      <c r="C1" s="233"/>
      <c r="D1" s="233"/>
      <c r="E1" s="233"/>
      <c r="F1" s="233"/>
      <c r="G1" s="233"/>
    </row>
    <row r="2" spans="1:7" s="15" customFormat="1" ht="12" customHeight="1" x14ac:dyDescent="0.2">
      <c r="A2" s="38"/>
      <c r="B2" s="38"/>
      <c r="C2" s="38"/>
      <c r="D2" s="38"/>
      <c r="E2" s="38"/>
      <c r="F2" s="38"/>
      <c r="G2" s="38"/>
    </row>
    <row r="3" spans="1:7" s="15" customFormat="1" ht="12" customHeight="1" x14ac:dyDescent="0.2">
      <c r="A3" s="269" t="s">
        <v>377</v>
      </c>
      <c r="B3" s="269"/>
      <c r="C3" s="269"/>
      <c r="D3" s="269"/>
      <c r="E3" s="269"/>
      <c r="F3" s="269"/>
      <c r="G3" s="237">
        <f>Rendementseis!C15</f>
        <v>0.15895000000000001</v>
      </c>
    </row>
    <row r="4" spans="1:7" s="15" customFormat="1" ht="12" customHeight="1" x14ac:dyDescent="0.2">
      <c r="A4" s="269" t="s">
        <v>46</v>
      </c>
      <c r="B4" s="269"/>
      <c r="C4" s="269"/>
      <c r="D4" s="269"/>
      <c r="E4" s="269"/>
      <c r="F4" s="269"/>
      <c r="G4" s="237">
        <f>'Invoer algemeen en balans'!inflatie</f>
        <v>0.02</v>
      </c>
    </row>
    <row r="5" spans="1:7" s="15" customFormat="1" ht="12" customHeight="1" x14ac:dyDescent="0.2">
      <c r="A5" s="269" t="s">
        <v>378</v>
      </c>
      <c r="B5" s="269"/>
      <c r="C5" s="269"/>
      <c r="D5" s="269"/>
      <c r="E5" s="269"/>
      <c r="F5" s="269"/>
      <c r="G5" s="237">
        <f>Rendementseis!C6</f>
        <v>0.02</v>
      </c>
    </row>
    <row r="6" spans="1:7" s="15" customFormat="1" ht="12" customHeight="1" x14ac:dyDescent="0.2">
      <c r="A6" s="269" t="s">
        <v>379</v>
      </c>
      <c r="B6" s="269"/>
      <c r="C6" s="269"/>
      <c r="D6" s="269"/>
      <c r="E6" s="269"/>
      <c r="F6" s="269"/>
      <c r="G6" s="234">
        <v>12</v>
      </c>
    </row>
    <row r="7" spans="1:7" s="15" customFormat="1" ht="12" customHeight="1" x14ac:dyDescent="0.2">
      <c r="A7" s="38"/>
      <c r="B7" s="38"/>
      <c r="C7" s="38"/>
      <c r="D7" s="38"/>
      <c r="E7" s="38"/>
      <c r="F7" s="38"/>
      <c r="G7" s="235"/>
    </row>
    <row r="8" spans="1:7" s="15" customFormat="1" ht="12" customHeight="1" x14ac:dyDescent="0.2">
      <c r="A8" s="268" t="s">
        <v>342</v>
      </c>
      <c r="B8" s="268"/>
      <c r="C8" s="268"/>
      <c r="D8" s="268"/>
      <c r="E8" s="268"/>
      <c r="F8" s="268"/>
      <c r="G8" s="43" t="str">
        <f>'Invoer algemeen en balans'!D4</f>
        <v>x 1.000</v>
      </c>
    </row>
    <row r="9" spans="1:7" s="15" customFormat="1" ht="12" customHeight="1" x14ac:dyDescent="0.2">
      <c r="A9" s="269" t="s">
        <v>389</v>
      </c>
      <c r="B9" s="269"/>
      <c r="C9" s="269"/>
      <c r="D9" s="269"/>
      <c r="E9" s="269"/>
      <c r="F9" s="48">
        <f>G3</f>
        <v>0.15895000000000001</v>
      </c>
      <c r="G9" s="40" t="e">
        <f>APV!I28</f>
        <v>#DIV/0!</v>
      </c>
    </row>
    <row r="10" spans="1:7" s="15" customFormat="1" ht="12" customHeight="1" x14ac:dyDescent="0.2">
      <c r="A10" s="269" t="s">
        <v>388</v>
      </c>
      <c r="B10" s="269"/>
      <c r="C10" s="269"/>
      <c r="D10" s="269"/>
      <c r="E10" s="269"/>
      <c r="F10" s="48">
        <f>G3-G5</f>
        <v>0.13895000000000002</v>
      </c>
      <c r="G10" s="41" t="e">
        <f>(APV!B17+APV!B23)/(1+F10)+(APV!C17+APV!C23)/(1+F10)^2+(APV!D17+APV!D23)/(1+F10)^3+(APV!E17+APV!E23)/(1+F10)^4+(APV!F17+APV!F23)/(1+F10)^5+(APV!G17+APV!B23)/(1+F10)^6+(APV!H17/(Rendementseis!C34-G5-G4))/(1+Rendementseis!C34-G5)^6</f>
        <v>#DIV/0!</v>
      </c>
    </row>
    <row r="11" spans="1:7" s="15" customFormat="1" ht="12" customHeight="1" x14ac:dyDescent="0.2">
      <c r="A11" s="269" t="s">
        <v>380</v>
      </c>
      <c r="B11" s="269"/>
      <c r="C11" s="269"/>
      <c r="D11" s="269"/>
      <c r="E11" s="269"/>
      <c r="F11" s="38"/>
      <c r="G11" s="40" t="e">
        <f>G10-G9</f>
        <v>#DIV/0!</v>
      </c>
    </row>
    <row r="12" spans="1:7" s="15" customFormat="1" ht="12" customHeight="1" x14ac:dyDescent="0.2">
      <c r="A12" s="269" t="s">
        <v>381</v>
      </c>
      <c r="B12" s="269"/>
      <c r="C12" s="269"/>
      <c r="D12" s="269"/>
      <c r="E12" s="269"/>
      <c r="F12" s="38"/>
      <c r="G12" s="48" t="e">
        <f>G11/G9</f>
        <v>#DIV/0!</v>
      </c>
    </row>
    <row r="13" spans="1:7" s="15" customFormat="1" ht="12" customHeight="1" x14ac:dyDescent="0.2">
      <c r="A13" s="38"/>
      <c r="B13" s="38"/>
      <c r="C13" s="38"/>
      <c r="D13" s="38"/>
      <c r="E13" s="38"/>
      <c r="F13" s="38"/>
      <c r="G13" s="38"/>
    </row>
    <row r="14" spans="1:7" s="15" customFormat="1" ht="12" customHeight="1" x14ac:dyDescent="0.2">
      <c r="A14" s="269" t="s">
        <v>382</v>
      </c>
      <c r="B14" s="269"/>
      <c r="C14" s="269"/>
      <c r="D14" s="269"/>
      <c r="E14" s="269"/>
      <c r="F14" s="38"/>
      <c r="G14" s="40" t="e">
        <f>G9</f>
        <v>#DIV/0!</v>
      </c>
    </row>
    <row r="15" spans="1:7" s="15" customFormat="1" ht="12" customHeight="1" x14ac:dyDescent="0.2">
      <c r="A15" s="269" t="str">
        <f>"Contante waarde "&amp;G6&amp; " maanden"</f>
        <v>Contante waarde 12 maanden</v>
      </c>
      <c r="B15" s="269"/>
      <c r="C15" s="269"/>
      <c r="D15" s="269"/>
      <c r="E15" s="269"/>
      <c r="F15" s="48">
        <f>G3</f>
        <v>0.15895000000000001</v>
      </c>
      <c r="G15" s="41" t="e">
        <f>G14/(1+F15)^(G6/12)</f>
        <v>#DIV/0!</v>
      </c>
    </row>
    <row r="16" spans="1:7" s="15" customFormat="1" ht="12" customHeight="1" x14ac:dyDescent="0.2">
      <c r="A16" s="269" t="s">
        <v>383</v>
      </c>
      <c r="B16" s="269"/>
      <c r="C16" s="269"/>
      <c r="D16" s="269"/>
      <c r="E16" s="269"/>
      <c r="F16" s="38"/>
      <c r="G16" s="40" t="e">
        <f>G14-G15</f>
        <v>#DIV/0!</v>
      </c>
    </row>
    <row r="17" spans="1:7" s="15" customFormat="1" ht="12" customHeight="1" x14ac:dyDescent="0.2">
      <c r="A17" s="38"/>
      <c r="B17" s="38"/>
      <c r="C17" s="38"/>
      <c r="D17" s="38"/>
      <c r="E17" s="38"/>
      <c r="F17" s="38"/>
      <c r="G17" s="40"/>
    </row>
    <row r="18" spans="1:7" s="15" customFormat="1" ht="12" customHeight="1" x14ac:dyDescent="0.2">
      <c r="A18" s="269" t="s">
        <v>380</v>
      </c>
      <c r="B18" s="269"/>
      <c r="C18" s="269"/>
      <c r="D18" s="269"/>
      <c r="E18" s="269"/>
      <c r="F18" s="38"/>
      <c r="G18" s="40" t="e">
        <f>G11</f>
        <v>#DIV/0!</v>
      </c>
    </row>
    <row r="19" spans="1:7" s="15" customFormat="1" ht="12" customHeight="1" x14ac:dyDescent="0.2">
      <c r="A19" s="269" t="s">
        <v>383</v>
      </c>
      <c r="B19" s="269"/>
      <c r="C19" s="269"/>
      <c r="D19" s="269"/>
      <c r="E19" s="269"/>
      <c r="F19" s="38"/>
      <c r="G19" s="41" t="e">
        <f>G16</f>
        <v>#DIV/0!</v>
      </c>
    </row>
    <row r="20" spans="1:7" s="15" customFormat="1" ht="12" customHeight="1" x14ac:dyDescent="0.2">
      <c r="A20" s="269" t="s">
        <v>390</v>
      </c>
      <c r="B20" s="269"/>
      <c r="C20" s="269"/>
      <c r="D20" s="269"/>
      <c r="E20" s="269"/>
      <c r="F20" s="269"/>
      <c r="G20" s="40" t="e">
        <f>G18-G19</f>
        <v>#DIV/0!</v>
      </c>
    </row>
    <row r="21" spans="1:7" s="15" customFormat="1" ht="12" customHeight="1" x14ac:dyDescent="0.2">
      <c r="A21" s="38"/>
      <c r="B21" s="38"/>
      <c r="C21" s="38"/>
      <c r="D21" s="38"/>
      <c r="E21" s="38"/>
      <c r="F21" s="38"/>
      <c r="G21" s="38"/>
    </row>
    <row r="22" spans="1:7" s="15" customFormat="1" ht="12" customHeight="1" x14ac:dyDescent="0.2">
      <c r="A22" s="268" t="s">
        <v>391</v>
      </c>
      <c r="B22" s="268"/>
      <c r="C22" s="268"/>
      <c r="D22" s="268"/>
      <c r="E22" s="268"/>
      <c r="F22" s="268"/>
      <c r="G22" s="268"/>
    </row>
    <row r="23" spans="1:7" s="15" customFormat="1" ht="12" customHeight="1" x14ac:dyDescent="0.2">
      <c r="A23" s="269" t="s">
        <v>392</v>
      </c>
      <c r="B23" s="269"/>
      <c r="C23" s="269"/>
      <c r="D23" s="269"/>
      <c r="E23" s="269"/>
      <c r="F23" s="269"/>
      <c r="G23" s="237">
        <v>0.05</v>
      </c>
    </row>
    <row r="24" spans="1:7" s="15" customFormat="1" ht="12" customHeight="1" x14ac:dyDescent="0.2">
      <c r="A24" s="269" t="s">
        <v>393</v>
      </c>
      <c r="B24" s="269"/>
      <c r="C24" s="269"/>
      <c r="D24" s="269"/>
      <c r="E24" s="269"/>
      <c r="F24" s="269"/>
      <c r="G24" s="40" t="e">
        <f>G14*G23</f>
        <v>#DIV/0!</v>
      </c>
    </row>
    <row r="25" spans="1:7" s="15" customFormat="1" ht="12" customHeight="1" x14ac:dyDescent="0.2">
      <c r="A25" s="38"/>
      <c r="B25" s="38"/>
      <c r="C25" s="38"/>
      <c r="D25" s="38"/>
      <c r="E25" s="38"/>
      <c r="F25" s="38"/>
      <c r="G25" s="38"/>
    </row>
    <row r="26" spans="1:7" s="15" customFormat="1" ht="12" customHeight="1" x14ac:dyDescent="0.2">
      <c r="A26" s="269" t="s">
        <v>384</v>
      </c>
      <c r="B26" s="269"/>
      <c r="C26" s="269"/>
      <c r="D26" s="269"/>
      <c r="E26" s="269"/>
      <c r="F26" s="269"/>
      <c r="G26" s="40" t="e">
        <f>G9</f>
        <v>#DIV/0!</v>
      </c>
    </row>
    <row r="27" spans="1:7" s="15" customFormat="1" ht="12" customHeight="1" x14ac:dyDescent="0.2">
      <c r="A27" s="269" t="s">
        <v>385</v>
      </c>
      <c r="B27" s="269"/>
      <c r="C27" s="269"/>
      <c r="D27" s="269"/>
      <c r="E27" s="269"/>
      <c r="F27" s="269"/>
      <c r="G27" s="41" t="e">
        <f>G20</f>
        <v>#DIV/0!</v>
      </c>
    </row>
    <row r="28" spans="1:7" s="15" customFormat="1" ht="12" customHeight="1" x14ac:dyDescent="0.2">
      <c r="A28" s="38"/>
      <c r="B28" s="38"/>
      <c r="C28" s="38"/>
      <c r="D28" s="38"/>
      <c r="E28" s="38"/>
      <c r="F28" s="38"/>
      <c r="G28" s="40" t="e">
        <f>G26+G27</f>
        <v>#DIV/0!</v>
      </c>
    </row>
    <row r="29" spans="1:7" s="15" customFormat="1" ht="12" customHeight="1" x14ac:dyDescent="0.2">
      <c r="A29" s="269" t="s">
        <v>386</v>
      </c>
      <c r="B29" s="269"/>
      <c r="C29" s="269"/>
      <c r="D29" s="269"/>
      <c r="E29" s="269"/>
      <c r="F29" s="269"/>
      <c r="G29" s="41" t="e">
        <f>G24</f>
        <v>#DIV/0!</v>
      </c>
    </row>
    <row r="30" spans="1:7" s="15" customFormat="1" ht="12" customHeight="1" x14ac:dyDescent="0.2">
      <c r="A30" s="269" t="s">
        <v>387</v>
      </c>
      <c r="B30" s="269"/>
      <c r="C30" s="269"/>
      <c r="D30" s="269"/>
      <c r="E30" s="269"/>
      <c r="F30" s="269"/>
      <c r="G30" s="40" t="e">
        <f>G28-G29</f>
        <v>#DIV/0!</v>
      </c>
    </row>
    <row r="31" spans="1:7" s="15" customFormat="1" ht="12" customHeight="1" x14ac:dyDescent="0.2">
      <c r="A31" s="273" t="s">
        <v>394</v>
      </c>
      <c r="B31" s="273"/>
      <c r="C31" s="273"/>
      <c r="D31" s="273"/>
      <c r="E31" s="273"/>
      <c r="F31" s="273"/>
      <c r="G31" s="238" t="e">
        <f>G20-G24</f>
        <v>#DIV/0!</v>
      </c>
    </row>
    <row r="32" spans="1:7" ht="12" customHeight="1" x14ac:dyDescent="0.25">
      <c r="A32" s="236"/>
      <c r="B32" s="236"/>
      <c r="C32" s="236"/>
      <c r="D32" s="236"/>
      <c r="E32" s="236"/>
      <c r="F32" s="236"/>
      <c r="G32" s="236"/>
    </row>
    <row r="33" spans="1:7" ht="12" customHeight="1" x14ac:dyDescent="0.25">
      <c r="A33" s="270" t="s">
        <v>401</v>
      </c>
      <c r="B33" s="270"/>
      <c r="C33" s="270"/>
      <c r="D33" s="270"/>
      <c r="E33" s="270"/>
      <c r="F33" s="270"/>
      <c r="G33" s="270"/>
    </row>
    <row r="34" spans="1:7" ht="12" customHeight="1" x14ac:dyDescent="0.25">
      <c r="A34" s="244"/>
      <c r="B34" s="271" t="s">
        <v>395</v>
      </c>
      <c r="C34" s="271"/>
      <c r="D34" s="271"/>
      <c r="E34" s="271"/>
      <c r="F34" s="271"/>
      <c r="G34" s="272"/>
    </row>
    <row r="35" spans="1:7" ht="12" customHeight="1" x14ac:dyDescent="0.25">
      <c r="A35" s="245"/>
      <c r="B35" s="241"/>
      <c r="C35" s="242">
        <f>D35-1%</f>
        <v>0.03</v>
      </c>
      <c r="D35" s="242">
        <f>E35-1%</f>
        <v>0.04</v>
      </c>
      <c r="E35" s="249">
        <f>G23</f>
        <v>0.05</v>
      </c>
      <c r="F35" s="242">
        <f>E35+1%</f>
        <v>6.0000000000000005E-2</v>
      </c>
      <c r="G35" s="246">
        <f>F35+1%</f>
        <v>7.0000000000000007E-2</v>
      </c>
    </row>
    <row r="36" spans="1:7" ht="12" customHeight="1" x14ac:dyDescent="0.25">
      <c r="A36" s="253" t="s">
        <v>396</v>
      </c>
      <c r="B36" s="243">
        <f>B37-3</f>
        <v>6</v>
      </c>
      <c r="C36" s="240" t="e">
        <f t="shared" ref="C36:G38" si="0">$G$11-($G$14-$G$14/(1+$F$15)^($B36/12))-$G$14*C$35</f>
        <v>#DIV/0!</v>
      </c>
      <c r="D36" s="240" t="e">
        <f t="shared" si="0"/>
        <v>#DIV/0!</v>
      </c>
      <c r="E36" s="250" t="e">
        <f t="shared" si="0"/>
        <v>#DIV/0!</v>
      </c>
      <c r="F36" s="240" t="e">
        <f t="shared" si="0"/>
        <v>#DIV/0!</v>
      </c>
      <c r="G36" s="240" t="e">
        <f t="shared" si="0"/>
        <v>#DIV/0!</v>
      </c>
    </row>
    <row r="37" spans="1:7" ht="12" customHeight="1" x14ac:dyDescent="0.25">
      <c r="A37" s="253" t="s">
        <v>397</v>
      </c>
      <c r="B37" s="243">
        <f>B38-3</f>
        <v>9</v>
      </c>
      <c r="C37" s="239" t="e">
        <f t="shared" si="0"/>
        <v>#DIV/0!</v>
      </c>
      <c r="D37" s="239" t="e">
        <f t="shared" si="0"/>
        <v>#DIV/0!</v>
      </c>
      <c r="E37" s="251" t="e">
        <f t="shared" si="0"/>
        <v>#DIV/0!</v>
      </c>
      <c r="F37" s="239" t="e">
        <f t="shared" si="0"/>
        <v>#DIV/0!</v>
      </c>
      <c r="G37" s="239" t="e">
        <f t="shared" si="0"/>
        <v>#DIV/0!</v>
      </c>
    </row>
    <row r="38" spans="1:7" ht="12" customHeight="1" x14ac:dyDescent="0.25">
      <c r="A38" s="253" t="s">
        <v>398</v>
      </c>
      <c r="B38" s="248">
        <f>G6</f>
        <v>12</v>
      </c>
      <c r="C38" s="239" t="e">
        <f t="shared" si="0"/>
        <v>#DIV/0!</v>
      </c>
      <c r="D38" s="239" t="e">
        <f t="shared" si="0"/>
        <v>#DIV/0!</v>
      </c>
      <c r="E38" s="252" t="e">
        <f>$G$11-($G$14-$G$14/(1+$F$15)^($B38/12))-$G$14*E$35</f>
        <v>#DIV/0!</v>
      </c>
      <c r="F38" s="239" t="e">
        <f t="shared" si="0"/>
        <v>#DIV/0!</v>
      </c>
      <c r="G38" s="239" t="e">
        <f t="shared" si="0"/>
        <v>#DIV/0!</v>
      </c>
    </row>
    <row r="39" spans="1:7" ht="12" customHeight="1" x14ac:dyDescent="0.25">
      <c r="A39" s="253" t="s">
        <v>399</v>
      </c>
      <c r="B39" s="243">
        <f>B38+3</f>
        <v>15</v>
      </c>
      <c r="C39" s="239" t="e">
        <f t="shared" ref="C39:G40" si="1">$G$11-($G$14-$G$14/(1+$F$15)^($B39/12))-$G$14*C$35</f>
        <v>#DIV/0!</v>
      </c>
      <c r="D39" s="239" t="e">
        <f t="shared" si="1"/>
        <v>#DIV/0!</v>
      </c>
      <c r="E39" s="239" t="e">
        <f t="shared" si="1"/>
        <v>#DIV/0!</v>
      </c>
      <c r="F39" s="239" t="e">
        <f t="shared" si="1"/>
        <v>#DIV/0!</v>
      </c>
      <c r="G39" s="239" t="e">
        <f t="shared" si="1"/>
        <v>#DIV/0!</v>
      </c>
    </row>
    <row r="40" spans="1:7" ht="12" customHeight="1" x14ac:dyDescent="0.25">
      <c r="A40" s="254" t="s">
        <v>400</v>
      </c>
      <c r="B40" s="247">
        <f>B39+3</f>
        <v>18</v>
      </c>
      <c r="C40" s="239" t="e">
        <f t="shared" si="1"/>
        <v>#DIV/0!</v>
      </c>
      <c r="D40" s="239" t="e">
        <f t="shared" si="1"/>
        <v>#DIV/0!</v>
      </c>
      <c r="E40" s="239" t="e">
        <f t="shared" si="1"/>
        <v>#DIV/0!</v>
      </c>
      <c r="F40" s="239" t="e">
        <f t="shared" si="1"/>
        <v>#DIV/0!</v>
      </c>
      <c r="G40" s="239" t="e">
        <f t="shared" si="1"/>
        <v>#DIV/0!</v>
      </c>
    </row>
    <row r="41" spans="1:7" ht="12" customHeight="1" x14ac:dyDescent="0.25"/>
    <row r="42" spans="1:7" ht="12" customHeight="1" x14ac:dyDescent="0.25"/>
    <row r="43" spans="1:7" ht="12" customHeight="1" x14ac:dyDescent="0.25"/>
    <row r="44" spans="1:7" ht="12" customHeight="1" x14ac:dyDescent="0.25"/>
    <row r="45" spans="1:7" ht="12" customHeight="1" x14ac:dyDescent="0.25"/>
    <row r="46" spans="1:7" ht="12" customHeight="1" x14ac:dyDescent="0.25"/>
    <row r="47" spans="1:7" ht="12" customHeight="1" x14ac:dyDescent="0.25"/>
    <row r="48" spans="1:7"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sheetData>
  <sheetProtection sheet="1" objects="1" scenarios="1"/>
  <mergeCells count="25">
    <mergeCell ref="A20:F20"/>
    <mergeCell ref="A6:F6"/>
    <mergeCell ref="A5:F5"/>
    <mergeCell ref="A4:F4"/>
    <mergeCell ref="A3:F3"/>
    <mergeCell ref="A9:E9"/>
    <mergeCell ref="A10:E10"/>
    <mergeCell ref="A11:E11"/>
    <mergeCell ref="A12:E12"/>
    <mergeCell ref="A14:E14"/>
    <mergeCell ref="A15:E15"/>
    <mergeCell ref="A16:E16"/>
    <mergeCell ref="A8:F8"/>
    <mergeCell ref="A18:E18"/>
    <mergeCell ref="A19:E19"/>
    <mergeCell ref="A22:G22"/>
    <mergeCell ref="A23:F23"/>
    <mergeCell ref="A33:G33"/>
    <mergeCell ref="B34:G34"/>
    <mergeCell ref="A26:F26"/>
    <mergeCell ref="A27:F27"/>
    <mergeCell ref="A29:F29"/>
    <mergeCell ref="A30:F30"/>
    <mergeCell ref="A31:F31"/>
    <mergeCell ref="A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dimension ref="A1:IU85"/>
  <sheetViews>
    <sheetView showGridLines="0" workbookViewId="0">
      <selection activeCell="A20" sqref="A20"/>
    </sheetView>
  </sheetViews>
  <sheetFormatPr defaultColWidth="0" defaultRowHeight="0" customHeight="1" zeroHeight="1" x14ac:dyDescent="0.2"/>
  <cols>
    <col min="1" max="1" width="38.85546875" style="15" customWidth="1"/>
    <col min="2" max="8" width="9.7109375" style="15" customWidth="1"/>
    <col min="9" max="9" width="10" style="15" customWidth="1"/>
    <col min="10" max="10" width="2.7109375" style="15" customWidth="1"/>
    <col min="11" max="11" width="7.28515625" style="15" hidden="1" customWidth="1"/>
    <col min="12" max="12" width="7.85546875" style="15" hidden="1" customWidth="1"/>
    <col min="13" max="255" width="9.140625" style="15" hidden="1" customWidth="1"/>
    <col min="256" max="16384" width="5.140625" style="15" hidden="1"/>
  </cols>
  <sheetData>
    <row r="1" spans="1:12" s="24" customFormat="1" ht="14.25" x14ac:dyDescent="0.2">
      <c r="A1" s="1" t="s">
        <v>48</v>
      </c>
      <c r="B1" s="25"/>
      <c r="C1" s="25"/>
      <c r="D1" s="25"/>
      <c r="E1" s="25"/>
      <c r="F1" s="25"/>
      <c r="G1" s="25"/>
      <c r="H1" s="25"/>
      <c r="I1" s="25"/>
      <c r="J1" s="25"/>
    </row>
    <row r="2" spans="1:12" s="95" customFormat="1" ht="12" customHeight="1" x14ac:dyDescent="0.2">
      <c r="A2" s="92"/>
      <c r="B2" s="93"/>
      <c r="C2" s="93"/>
      <c r="D2" s="93"/>
      <c r="E2" s="93"/>
      <c r="F2" s="93"/>
      <c r="G2" s="93"/>
      <c r="H2" s="93"/>
      <c r="I2" s="94"/>
    </row>
    <row r="3" spans="1:12" s="95" customFormat="1" ht="12" customHeight="1" x14ac:dyDescent="0.2">
      <c r="A3" s="96" t="s">
        <v>49</v>
      </c>
      <c r="B3" s="97"/>
      <c r="C3" s="79">
        <f>Rendementseis!C31</f>
        <v>0.15082500000000001</v>
      </c>
      <c r="D3" s="97"/>
      <c r="E3" s="84"/>
      <c r="F3" s="97"/>
      <c r="G3" s="97"/>
      <c r="H3" s="98"/>
      <c r="I3" s="84"/>
    </row>
    <row r="4" spans="1:12" s="95" customFormat="1" ht="12" customHeight="1" x14ac:dyDescent="0.2">
      <c r="A4" s="96" t="s">
        <v>50</v>
      </c>
      <c r="B4" s="97"/>
      <c r="C4" s="99">
        <f>Rendementseis!C26</f>
        <v>0.5</v>
      </c>
      <c r="D4" s="97"/>
      <c r="E4" s="84"/>
      <c r="F4" s="97"/>
      <c r="G4" s="97"/>
      <c r="H4" s="100"/>
      <c r="I4" s="84"/>
    </row>
    <row r="5" spans="1:12" s="95" customFormat="1" ht="12" customHeight="1" x14ac:dyDescent="0.2">
      <c r="A5" s="84"/>
      <c r="B5" s="84"/>
      <c r="C5" s="84"/>
      <c r="D5" s="101"/>
      <c r="E5" s="84"/>
      <c r="F5" s="84"/>
      <c r="G5" s="84"/>
      <c r="H5" s="84"/>
      <c r="I5" s="84"/>
    </row>
    <row r="6" spans="1:12" s="95" customFormat="1" ht="12" customHeight="1" x14ac:dyDescent="0.2">
      <c r="A6" s="82" t="str">
        <f>"Jaar               "&amp;"(bedragen x € "&amp;IF('Invoer algemeen en balans'!$D$4="x 1.000","1.000",1)&amp;")"</f>
        <v>Jaar               (bedragen x € 1.000)</v>
      </c>
      <c r="B6" s="82">
        <f>'Invoer algemeen en balans'!E15</f>
        <v>2021</v>
      </c>
      <c r="C6" s="82">
        <f>B6+1</f>
        <v>2022</v>
      </c>
      <c r="D6" s="82">
        <f>C6+1</f>
        <v>2023</v>
      </c>
      <c r="E6" s="82">
        <f>D6+1</f>
        <v>2024</v>
      </c>
      <c r="F6" s="82">
        <f>E6+1</f>
        <v>2025</v>
      </c>
      <c r="G6" s="82">
        <f>F6+1</f>
        <v>2026</v>
      </c>
      <c r="H6" s="102" t="s">
        <v>51</v>
      </c>
      <c r="I6" s="102" t="s">
        <v>52</v>
      </c>
    </row>
    <row r="7" spans="1:12" s="95" customFormat="1" ht="12" customHeight="1" x14ac:dyDescent="0.2">
      <c r="A7" s="84" t="s">
        <v>53</v>
      </c>
      <c r="B7" s="56">
        <f>'Invoer exploitatie'!E26</f>
        <v>0</v>
      </c>
      <c r="C7" s="56">
        <f>'Invoer exploitatie'!F26</f>
        <v>0</v>
      </c>
      <c r="D7" s="56">
        <f>'Invoer exploitatie'!G26</f>
        <v>0</v>
      </c>
      <c r="E7" s="56">
        <f>'Invoer exploitatie'!H26</f>
        <v>0</v>
      </c>
      <c r="F7" s="56">
        <f>'Invoer exploitatie'!I26</f>
        <v>0</v>
      </c>
      <c r="G7" s="56">
        <f>'Invoer exploitatie'!J26</f>
        <v>0</v>
      </c>
      <c r="H7" s="146">
        <f>G7*(1+'Invoer algemeen en balans'!inflatie)</f>
        <v>0</v>
      </c>
      <c r="I7" s="103"/>
      <c r="J7" s="104"/>
      <c r="K7" s="104"/>
      <c r="L7" s="104"/>
    </row>
    <row r="8" spans="1:12" s="95" customFormat="1" ht="12" customHeight="1" x14ac:dyDescent="0.2">
      <c r="A8" s="84" t="s">
        <v>54</v>
      </c>
      <c r="B8" s="56">
        <f>-'Invoer exploitatie'!E34</f>
        <v>0</v>
      </c>
      <c r="C8" s="56">
        <f>-'Invoer exploitatie'!F34</f>
        <v>0</v>
      </c>
      <c r="D8" s="56">
        <f>-'Invoer exploitatie'!G34</f>
        <v>0</v>
      </c>
      <c r="E8" s="56">
        <f>-'Invoer exploitatie'!H34</f>
        <v>0</v>
      </c>
      <c r="F8" s="56">
        <f>-'Invoer exploitatie'!I34</f>
        <v>0</v>
      </c>
      <c r="G8" s="56">
        <f>-'Invoer exploitatie'!J34</f>
        <v>0</v>
      </c>
      <c r="H8" s="54">
        <f>G8*(1+'Invoer algemeen en balans'!inflatie)</f>
        <v>0</v>
      </c>
      <c r="I8" s="103"/>
      <c r="J8" s="104"/>
      <c r="K8" s="104"/>
      <c r="L8" s="104"/>
    </row>
    <row r="9" spans="1:12" s="95" customFormat="1" ht="12" customHeight="1" x14ac:dyDescent="0.2">
      <c r="A9" s="84" t="s">
        <v>47</v>
      </c>
      <c r="B9" s="56">
        <f>-'Invoer exploitatie'!E78</f>
        <v>0</v>
      </c>
      <c r="C9" s="56">
        <f>-'Invoer exploitatie'!F78</f>
        <v>0</v>
      </c>
      <c r="D9" s="56">
        <f>-'Invoer exploitatie'!G78</f>
        <v>0</v>
      </c>
      <c r="E9" s="56">
        <f>-'Invoer exploitatie'!H78</f>
        <v>0</v>
      </c>
      <c r="F9" s="56">
        <f>-'Invoer exploitatie'!I78</f>
        <v>0</v>
      </c>
      <c r="G9" s="56">
        <f>-'Invoer exploitatie'!J78</f>
        <v>0</v>
      </c>
      <c r="H9" s="54">
        <f>G9*(1+'Invoer algemeen en balans'!inflatie)</f>
        <v>0</v>
      </c>
      <c r="I9" s="103"/>
      <c r="J9" s="104"/>
      <c r="K9" s="104"/>
      <c r="L9" s="104"/>
    </row>
    <row r="10" spans="1:12" s="95" customFormat="1" ht="12" customHeight="1" x14ac:dyDescent="0.2">
      <c r="A10" s="84" t="s">
        <v>37</v>
      </c>
      <c r="B10" s="68">
        <f>-'Invoer exploitatie'!E88</f>
        <v>0</v>
      </c>
      <c r="C10" s="68">
        <f>-'Invoer exploitatie'!F88</f>
        <v>0</v>
      </c>
      <c r="D10" s="68">
        <f>-'Invoer exploitatie'!G88</f>
        <v>0</v>
      </c>
      <c r="E10" s="68">
        <f>-'Invoer exploitatie'!H88</f>
        <v>0</v>
      </c>
      <c r="F10" s="68">
        <f>-'Invoer exploitatie'!I88</f>
        <v>0</v>
      </c>
      <c r="G10" s="68">
        <f>-'Invoer exploitatie'!J88</f>
        <v>0</v>
      </c>
      <c r="H10" s="68">
        <f>G10*(1+'Invoer algemeen en balans'!inflatie)</f>
        <v>0</v>
      </c>
      <c r="I10" s="103"/>
      <c r="J10" s="104"/>
      <c r="K10" s="104"/>
      <c r="L10" s="104"/>
    </row>
    <row r="11" spans="1:12" s="95" customFormat="1" ht="12" customHeight="1" x14ac:dyDescent="0.2">
      <c r="A11" s="84"/>
      <c r="B11" s="56">
        <f t="shared" ref="B11:H11" si="0">SUM(B7:B10)</f>
        <v>0</v>
      </c>
      <c r="C11" s="56">
        <f t="shared" si="0"/>
        <v>0</v>
      </c>
      <c r="D11" s="56">
        <f t="shared" si="0"/>
        <v>0</v>
      </c>
      <c r="E11" s="56">
        <f t="shared" si="0"/>
        <v>0</v>
      </c>
      <c r="F11" s="56">
        <f t="shared" si="0"/>
        <v>0</v>
      </c>
      <c r="G11" s="56">
        <f t="shared" si="0"/>
        <v>0</v>
      </c>
      <c r="H11" s="56">
        <f t="shared" si="0"/>
        <v>0</v>
      </c>
      <c r="I11" s="103"/>
      <c r="J11" s="104"/>
      <c r="K11" s="104"/>
      <c r="L11" s="104"/>
    </row>
    <row r="12" spans="1:12" s="38" customFormat="1" ht="12" customHeight="1" x14ac:dyDescent="0.2">
      <c r="A12" s="78" t="s">
        <v>55</v>
      </c>
      <c r="B12" s="68">
        <f>'Vrije kasstroom'!E5</f>
        <v>0</v>
      </c>
      <c r="C12" s="68">
        <f>'Vrije kasstroom'!F5</f>
        <v>0</v>
      </c>
      <c r="D12" s="68">
        <f>'Vrije kasstroom'!G5</f>
        <v>0</v>
      </c>
      <c r="E12" s="68">
        <f>'Vrije kasstroom'!H5</f>
        <v>0</v>
      </c>
      <c r="F12" s="68">
        <f>'Vrije kasstroom'!I5</f>
        <v>0</v>
      </c>
      <c r="G12" s="68">
        <f>'Vrije kasstroom'!J5</f>
        <v>0</v>
      </c>
      <c r="H12" s="68"/>
      <c r="I12" s="88"/>
      <c r="J12" s="40"/>
      <c r="K12" s="40"/>
      <c r="L12" s="40"/>
    </row>
    <row r="13" spans="1:12" s="95" customFormat="1" ht="12" customHeight="1" x14ac:dyDescent="0.2">
      <c r="A13" s="66" t="s">
        <v>369</v>
      </c>
      <c r="B13" s="56">
        <f t="shared" ref="B13:G13" si="1">SUM(B11:B12)</f>
        <v>0</v>
      </c>
      <c r="C13" s="56">
        <f t="shared" si="1"/>
        <v>0</v>
      </c>
      <c r="D13" s="56">
        <f t="shared" si="1"/>
        <v>0</v>
      </c>
      <c r="E13" s="56">
        <f t="shared" si="1"/>
        <v>0</v>
      </c>
      <c r="F13" s="56">
        <f t="shared" si="1"/>
        <v>0</v>
      </c>
      <c r="G13" s="56">
        <f t="shared" si="1"/>
        <v>0</v>
      </c>
      <c r="H13" s="56">
        <f>H11</f>
        <v>0</v>
      </c>
      <c r="I13" s="103"/>
      <c r="J13" s="104"/>
      <c r="K13" s="104"/>
      <c r="L13" s="104"/>
    </row>
    <row r="14" spans="1:12" s="95" customFormat="1" ht="12" customHeight="1" x14ac:dyDescent="0.2">
      <c r="A14" s="66" t="s">
        <v>57</v>
      </c>
      <c r="B14" s="54" t="e">
        <f>'Vrije kasstroom'!E7*B11</f>
        <v>#DIV/0!</v>
      </c>
      <c r="C14" s="54" t="e">
        <f>'Vrije kasstroom'!F7*C11</f>
        <v>#DIV/0!</v>
      </c>
      <c r="D14" s="54" t="e">
        <f>'Vrije kasstroom'!G7*D11</f>
        <v>#DIV/0!</v>
      </c>
      <c r="E14" s="54" t="e">
        <f>'Vrije kasstroom'!H7*E11</f>
        <v>#DIV/0!</v>
      </c>
      <c r="F14" s="54" t="e">
        <f>'Vrije kasstroom'!I7*F11</f>
        <v>#DIV/0!</v>
      </c>
      <c r="G14" s="54" t="e">
        <f>'Vrije kasstroom'!J7*G11</f>
        <v>#DIV/0!</v>
      </c>
      <c r="H14" s="54" t="e">
        <f>'Vrije kasstroom'!J7*H11</f>
        <v>#DIV/0!</v>
      </c>
      <c r="I14" s="103"/>
      <c r="J14" s="104"/>
      <c r="K14" s="104"/>
      <c r="L14" s="104"/>
    </row>
    <row r="15" spans="1:12" s="95" customFormat="1" ht="12" customHeight="1" x14ac:dyDescent="0.2">
      <c r="A15" s="66" t="s">
        <v>58</v>
      </c>
      <c r="B15" s="54">
        <f>'Invoer algemeen en balans'!E71</f>
        <v>0</v>
      </c>
      <c r="C15" s="54">
        <f>'Invoer algemeen en balans'!F71</f>
        <v>0</v>
      </c>
      <c r="D15" s="54">
        <f>'Invoer algemeen en balans'!G71</f>
        <v>0</v>
      </c>
      <c r="E15" s="54">
        <f>'Invoer algemeen en balans'!H71</f>
        <v>0</v>
      </c>
      <c r="F15" s="54">
        <f>'Invoer algemeen en balans'!I71</f>
        <v>0</v>
      </c>
      <c r="G15" s="54">
        <f>'Invoer algemeen en balans'!J71</f>
        <v>0</v>
      </c>
      <c r="H15" s="56">
        <f>-'Invoer algemeen en balans'!J70*'Invoer algemeen en balans'!inflatie</f>
        <v>0</v>
      </c>
      <c r="I15" s="103"/>
      <c r="J15" s="104"/>
      <c r="K15" s="104"/>
      <c r="L15" s="104"/>
    </row>
    <row r="16" spans="1:12" s="95" customFormat="1" ht="12" customHeight="1" x14ac:dyDescent="0.2">
      <c r="A16" s="38" t="s">
        <v>230</v>
      </c>
      <c r="B16" s="68">
        <f>'Vrije kasstroom'!E13-B10</f>
        <v>0</v>
      </c>
      <c r="C16" s="68">
        <f>'Vrije kasstroom'!F13-C10</f>
        <v>0</v>
      </c>
      <c r="D16" s="68">
        <f>'Vrije kasstroom'!G13-D10</f>
        <v>0</v>
      </c>
      <c r="E16" s="68">
        <f>'Vrije kasstroom'!H13-E10</f>
        <v>0</v>
      </c>
      <c r="F16" s="68">
        <f>'Vrije kasstroom'!I13-F10</f>
        <v>0</v>
      </c>
      <c r="G16" s="68">
        <f>'Vrije kasstroom'!J13-G10</f>
        <v>0</v>
      </c>
      <c r="H16" s="68"/>
      <c r="I16" s="103"/>
      <c r="J16" s="104"/>
      <c r="K16" s="104"/>
      <c r="L16" s="104"/>
    </row>
    <row r="17" spans="1:9" s="95" customFormat="1" ht="12" customHeight="1" x14ac:dyDescent="0.2">
      <c r="A17" s="84" t="s">
        <v>174</v>
      </c>
      <c r="B17" s="56" t="e">
        <f>SUM(B13:B16)</f>
        <v>#DIV/0!</v>
      </c>
      <c r="C17" s="56" t="e">
        <f t="shared" ref="C17:H17" si="2">SUM(C13:C16)</f>
        <v>#DIV/0!</v>
      </c>
      <c r="D17" s="56" t="e">
        <f t="shared" si="2"/>
        <v>#DIV/0!</v>
      </c>
      <c r="E17" s="56" t="e">
        <f t="shared" si="2"/>
        <v>#DIV/0!</v>
      </c>
      <c r="F17" s="56" t="e">
        <f t="shared" si="2"/>
        <v>#DIV/0!</v>
      </c>
      <c r="G17" s="56" t="e">
        <f t="shared" si="2"/>
        <v>#DIV/0!</v>
      </c>
      <c r="H17" s="56" t="e">
        <f t="shared" si="2"/>
        <v>#DIV/0!</v>
      </c>
      <c r="I17" s="103"/>
    </row>
    <row r="18" spans="1:9" s="95" customFormat="1" ht="12" customHeight="1" x14ac:dyDescent="0.2">
      <c r="A18" s="84" t="s">
        <v>59</v>
      </c>
      <c r="B18" s="56"/>
      <c r="C18" s="56"/>
      <c r="D18" s="56"/>
      <c r="E18" s="56"/>
      <c r="F18" s="56"/>
      <c r="G18" s="105"/>
      <c r="H18" s="106" t="e">
        <f>H17/(Rendementseis!C34-'Invoer algemeen en balans'!inflatie)</f>
        <v>#DIV/0!</v>
      </c>
      <c r="I18" s="103"/>
    </row>
    <row r="19" spans="1:9" s="95" customFormat="1" ht="12" customHeight="1" x14ac:dyDescent="0.2">
      <c r="A19" s="86" t="s">
        <v>60</v>
      </c>
      <c r="B19" s="85" t="e">
        <f>B17/(1+wacc)</f>
        <v>#DIV/0!</v>
      </c>
      <c r="C19" s="85" t="e">
        <f>C17/(1+wacc)^2</f>
        <v>#DIV/0!</v>
      </c>
      <c r="D19" s="85" t="e">
        <f>D17/(1+wacc)^3</f>
        <v>#DIV/0!</v>
      </c>
      <c r="E19" s="85" t="e">
        <f>E17/(1+wacc)^4</f>
        <v>#DIV/0!</v>
      </c>
      <c r="F19" s="85" t="e">
        <f>F17/(1+wacc)^5</f>
        <v>#DIV/0!</v>
      </c>
      <c r="G19" s="85" t="e">
        <f>G17/(1+wacc)^6</f>
        <v>#DIV/0!</v>
      </c>
      <c r="H19" s="85" t="e">
        <f>H18/(1+Rendementseis!C34)^6</f>
        <v>#DIV/0!</v>
      </c>
      <c r="I19" s="85" t="e">
        <f>SUM(B19:H19)</f>
        <v>#DIV/0!</v>
      </c>
    </row>
    <row r="20" spans="1:9" s="95" customFormat="1" ht="12" customHeight="1" x14ac:dyDescent="0.2">
      <c r="A20" s="107"/>
      <c r="B20" s="108"/>
      <c r="C20" s="108"/>
      <c r="D20" s="108"/>
      <c r="E20" s="108"/>
      <c r="F20" s="108"/>
      <c r="G20" s="108"/>
      <c r="H20" s="108"/>
      <c r="I20" s="109"/>
    </row>
    <row r="21" spans="1:9" s="95" customFormat="1" ht="12" customHeight="1" x14ac:dyDescent="0.2">
      <c r="A21" s="66"/>
      <c r="B21" s="110"/>
      <c r="C21" s="110"/>
      <c r="D21" s="110"/>
      <c r="E21" s="110"/>
      <c r="F21" s="110"/>
      <c r="G21" s="66"/>
      <c r="H21" s="66"/>
      <c r="I21" s="111"/>
    </row>
    <row r="22" spans="1:9" s="95" customFormat="1" ht="12" customHeight="1" x14ac:dyDescent="0.2">
      <c r="A22" s="82" t="s">
        <v>61</v>
      </c>
      <c r="B22" s="112"/>
      <c r="C22" s="112"/>
      <c r="D22" s="112"/>
      <c r="E22" s="112"/>
      <c r="F22" s="112"/>
      <c r="G22" s="113"/>
      <c r="H22" s="113"/>
      <c r="I22" s="82"/>
    </row>
    <row r="23" spans="1:9" s="95" customFormat="1" ht="12" customHeight="1" x14ac:dyDescent="0.2">
      <c r="A23" s="66" t="s">
        <v>62</v>
      </c>
      <c r="B23" s="114"/>
      <c r="C23" s="114"/>
      <c r="D23" s="114"/>
      <c r="E23" s="114"/>
      <c r="F23" s="114"/>
      <c r="G23" s="84"/>
      <c r="H23" s="84"/>
      <c r="I23" s="56" t="e">
        <f>I19</f>
        <v>#DIV/0!</v>
      </c>
    </row>
    <row r="24" spans="1:9" s="95" customFormat="1" ht="12" customHeight="1" x14ac:dyDescent="0.2">
      <c r="A24" s="274" t="s">
        <v>225</v>
      </c>
      <c r="B24" s="274"/>
      <c r="C24" s="274"/>
      <c r="D24" s="84"/>
      <c r="E24" s="84"/>
      <c r="F24" s="84"/>
      <c r="G24" s="84"/>
      <c r="H24" s="84"/>
      <c r="I24" s="103">
        <f>'Invoer algemeen en balans'!D9</f>
        <v>0</v>
      </c>
    </row>
    <row r="25" spans="1:9" s="95" customFormat="1" ht="12" customHeight="1" x14ac:dyDescent="0.2">
      <c r="A25" s="84" t="s">
        <v>63</v>
      </c>
      <c r="B25" s="84"/>
      <c r="C25" s="84"/>
      <c r="D25" s="84"/>
      <c r="E25" s="84"/>
      <c r="F25" s="84"/>
      <c r="G25" s="84"/>
      <c r="H25" s="84"/>
      <c r="I25" s="103">
        <f>'Invoer algemeen en balans'!D10+'Invoer algemeen en balans'!D11</f>
        <v>0</v>
      </c>
    </row>
    <row r="26" spans="1:9" s="95" customFormat="1" ht="12" customHeight="1" x14ac:dyDescent="0.2">
      <c r="A26" s="66" t="s">
        <v>64</v>
      </c>
      <c r="B26" s="84"/>
      <c r="C26" s="84"/>
      <c r="D26" s="84"/>
      <c r="E26" s="84"/>
      <c r="F26" s="84"/>
      <c r="G26" s="84"/>
      <c r="H26" s="84"/>
      <c r="I26" s="115">
        <f>'Invoer algemeen en balans'!D12+'Invoer algemeen en balans'!D13</f>
        <v>0</v>
      </c>
    </row>
    <row r="27" spans="1:9" s="95" customFormat="1" ht="12" customHeight="1" x14ac:dyDescent="0.2">
      <c r="A27" s="84" t="s">
        <v>65</v>
      </c>
      <c r="B27" s="84"/>
      <c r="C27" s="84"/>
      <c r="D27" s="84"/>
      <c r="E27" s="84"/>
      <c r="F27" s="84"/>
      <c r="G27" s="84"/>
      <c r="H27" s="84"/>
      <c r="I27" s="56" t="e">
        <f>I23-I24-I25+I26</f>
        <v>#DIV/0!</v>
      </c>
    </row>
    <row r="28" spans="1:9" s="38" customFormat="1" ht="12" customHeight="1" x14ac:dyDescent="0.2">
      <c r="A28" s="95"/>
      <c r="B28" s="95"/>
      <c r="C28" s="95"/>
      <c r="D28" s="95"/>
      <c r="E28" s="95"/>
      <c r="F28" s="95"/>
      <c r="I28" s="116"/>
    </row>
    <row r="29" spans="1:9" ht="12" customHeight="1" x14ac:dyDescent="0.2">
      <c r="A29" s="82" t="s">
        <v>333</v>
      </c>
      <c r="B29" s="112"/>
      <c r="C29" s="112"/>
      <c r="D29" s="112"/>
      <c r="E29" s="112"/>
      <c r="F29" s="112"/>
      <c r="G29" s="113"/>
      <c r="H29" s="113"/>
      <c r="I29" s="82"/>
    </row>
    <row r="30" spans="1:9" ht="12" customHeight="1" x14ac:dyDescent="0.2">
      <c r="A30" s="275" t="str">
        <f>IF('Invoer exploitatie'!J18&gt;20%,"Ratio EBITDA tot sales is hoger dan 20% in het laatste prognosejaar en daarmee in de restperiode. Verklaren waarom dit realistisch en duurzaam is!",IF('Invoer exploitatie'!J18-AVERAGE('Invoer exploitatie'!B18:D18)&gt;2%,"Ratio EBITDA tot sales is in het laatste prognosejaar en daarmee in de restperiode 2% hoger dan in de historische jaren. Verklaren waarom dit realistisch en duurzaam is!",""))</f>
        <v/>
      </c>
      <c r="B30" s="275"/>
      <c r="C30" s="275"/>
      <c r="D30" s="275"/>
      <c r="E30" s="275"/>
      <c r="F30" s="275"/>
      <c r="G30" s="275"/>
      <c r="H30" s="275"/>
      <c r="I30" s="275"/>
    </row>
    <row r="31" spans="1:9" ht="12" customHeight="1" x14ac:dyDescent="0.2">
      <c r="A31" s="276" t="str">
        <f>IF('Vrije kasstroom'!E16&amp;'Vrije kasstroom'!F16&amp;'Vrije kasstroom'!G16&amp;'Vrije kasstroom'!H16&amp;'Vrije kasstroom'!I16&amp;'Vrije kasstroom'!J16="","","De mutatie werkkapitaal is groter dan 5% van de waarde. Verklaren waarom dit realistisch is!")</f>
        <v/>
      </c>
      <c r="B31" s="276"/>
      <c r="C31" s="276"/>
      <c r="D31" s="276"/>
      <c r="E31" s="276"/>
      <c r="F31" s="276"/>
      <c r="G31" s="276"/>
      <c r="H31" s="276"/>
      <c r="I31" s="276"/>
    </row>
    <row r="32" spans="1:9" ht="12" customHeight="1" x14ac:dyDescent="0.2">
      <c r="A32" s="19"/>
      <c r="B32" s="17"/>
      <c r="C32" s="17"/>
      <c r="D32" s="17"/>
      <c r="E32" s="17"/>
      <c r="F32" s="18"/>
      <c r="G32" s="17"/>
      <c r="H32" s="17"/>
      <c r="I32" s="27"/>
    </row>
    <row r="33" ht="12" hidden="1" x14ac:dyDescent="0.2"/>
    <row r="34" ht="12" hidden="1" x14ac:dyDescent="0.2"/>
    <row r="35" ht="12" hidden="1" x14ac:dyDescent="0.2"/>
    <row r="36" ht="12" hidden="1" x14ac:dyDescent="0.2"/>
    <row r="37" ht="12" hidden="1" x14ac:dyDescent="0.2"/>
    <row r="38" ht="12" hidden="1" x14ac:dyDescent="0.2"/>
    <row r="39" ht="12" hidden="1" x14ac:dyDescent="0.2"/>
    <row r="40" ht="12" hidden="1" x14ac:dyDescent="0.2"/>
    <row r="41" ht="12" hidden="1" x14ac:dyDescent="0.2"/>
    <row r="42" ht="12" hidden="1" x14ac:dyDescent="0.2"/>
    <row r="43" ht="12" hidden="1" x14ac:dyDescent="0.2"/>
    <row r="44" ht="12" hidden="1" x14ac:dyDescent="0.2"/>
    <row r="45" ht="12" hidden="1" x14ac:dyDescent="0.2"/>
    <row r="46" ht="12" hidden="1" x14ac:dyDescent="0.2"/>
    <row r="47" ht="12" hidden="1" x14ac:dyDescent="0.2"/>
    <row r="48" ht="12" hidden="1" x14ac:dyDescent="0.2"/>
    <row r="49" ht="12" hidden="1" x14ac:dyDescent="0.2"/>
    <row r="50" ht="12" hidden="1" x14ac:dyDescent="0.2"/>
    <row r="51" ht="12" hidden="1" x14ac:dyDescent="0.2"/>
    <row r="52" ht="12" hidden="1" x14ac:dyDescent="0.2"/>
    <row r="53" ht="12" hidden="1" x14ac:dyDescent="0.2"/>
    <row r="54" ht="12" hidden="1" x14ac:dyDescent="0.2"/>
    <row r="55" ht="12" hidden="1" x14ac:dyDescent="0.2"/>
    <row r="56" ht="12" hidden="1" x14ac:dyDescent="0.2"/>
    <row r="57" ht="12" hidden="1" x14ac:dyDescent="0.2"/>
    <row r="58" ht="12" hidden="1" x14ac:dyDescent="0.2"/>
    <row r="59" ht="12" hidden="1" x14ac:dyDescent="0.2"/>
    <row r="60" ht="12" hidden="1" x14ac:dyDescent="0.2"/>
    <row r="61" ht="12" hidden="1" x14ac:dyDescent="0.2"/>
    <row r="62" ht="12" hidden="1" x14ac:dyDescent="0.2"/>
    <row r="63" ht="12" hidden="1" x14ac:dyDescent="0.2"/>
    <row r="64" ht="12" hidden="1" x14ac:dyDescent="0.2"/>
    <row r="65" ht="12" hidden="1" x14ac:dyDescent="0.2"/>
    <row r="66" ht="12" hidden="1" x14ac:dyDescent="0.2"/>
    <row r="67" ht="12" hidden="1" x14ac:dyDescent="0.2"/>
    <row r="68" ht="12" hidden="1" x14ac:dyDescent="0.2"/>
    <row r="69" ht="12" hidden="1" x14ac:dyDescent="0.2"/>
    <row r="70" ht="12" hidden="1" x14ac:dyDescent="0.2"/>
    <row r="71" ht="12" hidden="1" x14ac:dyDescent="0.2"/>
    <row r="72" ht="12" hidden="1" x14ac:dyDescent="0.2"/>
    <row r="73" ht="12" hidden="1" x14ac:dyDescent="0.2"/>
    <row r="74" ht="12" hidden="1" x14ac:dyDescent="0.2"/>
    <row r="75" ht="12" hidden="1" x14ac:dyDescent="0.2"/>
    <row r="76" ht="12" hidden="1" x14ac:dyDescent="0.2"/>
    <row r="77" ht="12" hidden="1" x14ac:dyDescent="0.2"/>
    <row r="78" ht="12" hidden="1" x14ac:dyDescent="0.2"/>
    <row r="79" ht="12" hidden="1" x14ac:dyDescent="0.2"/>
    <row r="80" ht="12" hidden="1" x14ac:dyDescent="0.2"/>
    <row r="81" ht="12" hidden="1" x14ac:dyDescent="0.2"/>
    <row r="82" ht="12" hidden="1" x14ac:dyDescent="0.2"/>
    <row r="83" ht="12" hidden="1" x14ac:dyDescent="0.2"/>
    <row r="84" ht="12" hidden="1" x14ac:dyDescent="0.2"/>
    <row r="85" ht="12" hidden="1" x14ac:dyDescent="0.2"/>
  </sheetData>
  <sheetProtection sheet="1"/>
  <mergeCells count="3">
    <mergeCell ref="A24:C24"/>
    <mergeCell ref="A30:I30"/>
    <mergeCell ref="A31:I31"/>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L114"/>
  <sheetViews>
    <sheetView showGridLines="0" zoomScaleNormal="100" workbookViewId="0">
      <selection activeCell="A27" sqref="A27"/>
    </sheetView>
  </sheetViews>
  <sheetFormatPr defaultColWidth="0" defaultRowHeight="12" zeroHeight="1" x14ac:dyDescent="0.2"/>
  <cols>
    <col min="1" max="1" width="45" style="15" customWidth="1"/>
    <col min="2" max="7" width="9.7109375" style="15" customWidth="1"/>
    <col min="8" max="8" width="9.5703125" style="15" customWidth="1"/>
    <col min="9" max="9" width="9.28515625" style="15" customWidth="1"/>
    <col min="10" max="10" width="2.7109375" style="15" customWidth="1"/>
    <col min="11" max="11" width="7.28515625" style="15" hidden="1" customWidth="1"/>
    <col min="12" max="12" width="7.85546875" style="15" hidden="1" customWidth="1"/>
    <col min="13" max="16384" width="0" style="15" hidden="1"/>
  </cols>
  <sheetData>
    <row r="1" spans="1:12" s="24" customFormat="1" ht="14.25" x14ac:dyDescent="0.2">
      <c r="A1" s="1" t="s">
        <v>66</v>
      </c>
      <c r="B1" s="25"/>
      <c r="C1" s="25"/>
      <c r="D1" s="25"/>
      <c r="E1" s="25"/>
      <c r="F1" s="25"/>
      <c r="G1" s="25"/>
      <c r="H1" s="25"/>
      <c r="I1" s="25"/>
      <c r="J1" s="25"/>
    </row>
    <row r="2" spans="1:12" ht="12" customHeight="1" x14ac:dyDescent="0.2">
      <c r="A2" s="49"/>
      <c r="B2" s="50"/>
      <c r="C2" s="50"/>
      <c r="D2" s="50"/>
      <c r="E2" s="50"/>
      <c r="F2" s="50"/>
      <c r="G2" s="50"/>
      <c r="H2" s="50"/>
      <c r="I2" s="50"/>
      <c r="J2" s="38"/>
    </row>
    <row r="3" spans="1:12" ht="12" customHeight="1" x14ac:dyDescent="0.2">
      <c r="A3" s="77" t="s">
        <v>67</v>
      </c>
      <c r="B3" s="78"/>
      <c r="C3" s="79">
        <f>keu</f>
        <v>0.15895000000000001</v>
      </c>
      <c r="D3" s="78"/>
      <c r="E3" s="78"/>
      <c r="F3" s="78"/>
      <c r="G3" s="78"/>
      <c r="H3" s="78"/>
      <c r="I3" s="78"/>
      <c r="J3" s="38"/>
    </row>
    <row r="4" spans="1:12" ht="12" customHeight="1" x14ac:dyDescent="0.2">
      <c r="A4" s="77"/>
      <c r="B4" s="78"/>
      <c r="C4" s="79"/>
      <c r="D4" s="78"/>
      <c r="E4" s="78"/>
      <c r="F4" s="78"/>
      <c r="G4" s="78"/>
      <c r="H4" s="78"/>
      <c r="I4" s="78"/>
      <c r="J4" s="38"/>
    </row>
    <row r="5" spans="1:12" ht="12" customHeight="1" x14ac:dyDescent="0.2">
      <c r="A5" s="78"/>
      <c r="B5" s="78"/>
      <c r="C5" s="78"/>
      <c r="D5" s="80"/>
      <c r="E5" s="78"/>
      <c r="F5" s="78"/>
      <c r="G5" s="78"/>
      <c r="H5" s="78"/>
      <c r="I5" s="78"/>
      <c r="J5" s="38"/>
    </row>
    <row r="6" spans="1:12" ht="12" customHeight="1" x14ac:dyDescent="0.2">
      <c r="A6" s="81" t="str">
        <f>"Jaar             "&amp;"(bedragen x € "&amp;IF('Invoer algemeen en balans'!$D$4="x 1.000","1.000",1)&amp;")"</f>
        <v>Jaar             (bedragen x € 1.000)</v>
      </c>
      <c r="B6" s="82">
        <f>'Invoer algemeen en balans'!E15</f>
        <v>2021</v>
      </c>
      <c r="C6" s="82">
        <f>B6+1</f>
        <v>2022</v>
      </c>
      <c r="D6" s="82">
        <f>C6+1</f>
        <v>2023</v>
      </c>
      <c r="E6" s="82">
        <f>D6+1</f>
        <v>2024</v>
      </c>
      <c r="F6" s="82">
        <f>E6+1</f>
        <v>2025</v>
      </c>
      <c r="G6" s="82">
        <f>F6+1</f>
        <v>2026</v>
      </c>
      <c r="H6" s="83" t="s">
        <v>51</v>
      </c>
      <c r="I6" s="83" t="s">
        <v>52</v>
      </c>
      <c r="J6" s="38"/>
    </row>
    <row r="7" spans="1:12" ht="12" customHeight="1" x14ac:dyDescent="0.2">
      <c r="A7" s="84" t="s">
        <v>53</v>
      </c>
      <c r="B7" s="56">
        <f>'Invoer exploitatie'!E26</f>
        <v>0</v>
      </c>
      <c r="C7" s="56">
        <f>'Invoer exploitatie'!F26</f>
        <v>0</v>
      </c>
      <c r="D7" s="56">
        <f>'Invoer exploitatie'!G26</f>
        <v>0</v>
      </c>
      <c r="E7" s="56">
        <f>'Invoer exploitatie'!H26</f>
        <v>0</v>
      </c>
      <c r="F7" s="56">
        <f>'Invoer exploitatie'!I26</f>
        <v>0</v>
      </c>
      <c r="G7" s="56">
        <f>'Invoer exploitatie'!J26</f>
        <v>0</v>
      </c>
      <c r="H7" s="146">
        <f>G7*(1+'Invoer algemeen en balans'!inflatie)</f>
        <v>0</v>
      </c>
      <c r="I7" s="85"/>
      <c r="J7" s="40"/>
      <c r="K7" s="16"/>
      <c r="L7" s="16"/>
    </row>
    <row r="8" spans="1:12" ht="12" customHeight="1" x14ac:dyDescent="0.2">
      <c r="A8" s="84" t="s">
        <v>54</v>
      </c>
      <c r="B8" s="56">
        <f>-'Invoer exploitatie'!E34</f>
        <v>0</v>
      </c>
      <c r="C8" s="56">
        <f>-'Invoer exploitatie'!F34</f>
        <v>0</v>
      </c>
      <c r="D8" s="56">
        <f>-'Invoer exploitatie'!G34</f>
        <v>0</v>
      </c>
      <c r="E8" s="56">
        <f>-'Invoer exploitatie'!H34</f>
        <v>0</v>
      </c>
      <c r="F8" s="56">
        <f>-'Invoer exploitatie'!I34</f>
        <v>0</v>
      </c>
      <c r="G8" s="56">
        <f>-'Invoer exploitatie'!J34</f>
        <v>0</v>
      </c>
      <c r="H8" s="54">
        <f>G8*(1+'Invoer algemeen en balans'!inflatie)</f>
        <v>0</v>
      </c>
      <c r="I8" s="85"/>
      <c r="J8" s="40"/>
      <c r="K8" s="16"/>
      <c r="L8" s="16"/>
    </row>
    <row r="9" spans="1:12" ht="12" customHeight="1" x14ac:dyDescent="0.2">
      <c r="A9" s="84" t="s">
        <v>47</v>
      </c>
      <c r="B9" s="56">
        <f>-'Invoer exploitatie'!E78</f>
        <v>0</v>
      </c>
      <c r="C9" s="56">
        <f>-'Invoer exploitatie'!F78</f>
        <v>0</v>
      </c>
      <c r="D9" s="56">
        <f>-'Invoer exploitatie'!G78</f>
        <v>0</v>
      </c>
      <c r="E9" s="56">
        <f>-'Invoer exploitatie'!H78</f>
        <v>0</v>
      </c>
      <c r="F9" s="56">
        <f>-'Invoer exploitatie'!I78</f>
        <v>0</v>
      </c>
      <c r="G9" s="56">
        <f>-'Invoer exploitatie'!J78</f>
        <v>0</v>
      </c>
      <c r="H9" s="54">
        <f>G9*(1+'Invoer algemeen en balans'!inflatie)</f>
        <v>0</v>
      </c>
      <c r="I9" s="85"/>
      <c r="J9" s="40"/>
      <c r="K9" s="16"/>
      <c r="L9" s="16"/>
    </row>
    <row r="10" spans="1:12" ht="12" customHeight="1" x14ac:dyDescent="0.2">
      <c r="A10" s="84" t="s">
        <v>37</v>
      </c>
      <c r="B10" s="68">
        <f>-'Invoer exploitatie'!E88</f>
        <v>0</v>
      </c>
      <c r="C10" s="68">
        <f>-'Invoer exploitatie'!F88</f>
        <v>0</v>
      </c>
      <c r="D10" s="68">
        <f>-'Invoer exploitatie'!G88</f>
        <v>0</v>
      </c>
      <c r="E10" s="68">
        <f>-'Invoer exploitatie'!H88</f>
        <v>0</v>
      </c>
      <c r="F10" s="68">
        <f>-'Invoer exploitatie'!I88</f>
        <v>0</v>
      </c>
      <c r="G10" s="68">
        <f>-'Invoer exploitatie'!J88</f>
        <v>0</v>
      </c>
      <c r="H10" s="68">
        <f>G10*(1+'Invoer algemeen en balans'!inflatie)</f>
        <v>0</v>
      </c>
      <c r="I10" s="85"/>
      <c r="J10" s="40"/>
      <c r="K10" s="16"/>
      <c r="L10" s="16"/>
    </row>
    <row r="11" spans="1:12" ht="12" customHeight="1" x14ac:dyDescent="0.2">
      <c r="A11" s="84"/>
      <c r="B11" s="56">
        <f t="shared" ref="B11:H11" si="0">SUM(B7:B10)</f>
        <v>0</v>
      </c>
      <c r="C11" s="56">
        <f t="shared" si="0"/>
        <v>0</v>
      </c>
      <c r="D11" s="56">
        <f t="shared" si="0"/>
        <v>0</v>
      </c>
      <c r="E11" s="56">
        <f t="shared" si="0"/>
        <v>0</v>
      </c>
      <c r="F11" s="56">
        <f t="shared" si="0"/>
        <v>0</v>
      </c>
      <c r="G11" s="56">
        <f t="shared" si="0"/>
        <v>0</v>
      </c>
      <c r="H11" s="56">
        <f t="shared" si="0"/>
        <v>0</v>
      </c>
      <c r="I11" s="85"/>
      <c r="J11" s="40"/>
      <c r="K11" s="16"/>
      <c r="L11" s="16"/>
    </row>
    <row r="12" spans="1:12" ht="12" customHeight="1" x14ac:dyDescent="0.2">
      <c r="A12" s="78" t="s">
        <v>55</v>
      </c>
      <c r="B12" s="68">
        <f>'Vrije kasstroom'!E5</f>
        <v>0</v>
      </c>
      <c r="C12" s="68">
        <f>'Vrije kasstroom'!F5</f>
        <v>0</v>
      </c>
      <c r="D12" s="68">
        <f>'Vrije kasstroom'!G5</f>
        <v>0</v>
      </c>
      <c r="E12" s="68">
        <f>'Vrije kasstroom'!H5</f>
        <v>0</v>
      </c>
      <c r="F12" s="68">
        <f>'Vrije kasstroom'!I5</f>
        <v>0</v>
      </c>
      <c r="G12" s="68">
        <f>'Vrije kasstroom'!J5</f>
        <v>0</v>
      </c>
      <c r="H12" s="68"/>
      <c r="I12" s="85"/>
      <c r="J12" s="40"/>
      <c r="K12" s="16"/>
      <c r="L12" s="16"/>
    </row>
    <row r="13" spans="1:12" ht="12" customHeight="1" x14ac:dyDescent="0.2">
      <c r="A13" s="66" t="s">
        <v>369</v>
      </c>
      <c r="B13" s="56">
        <f t="shared" ref="B13:G13" si="1">SUM(B11:B12)</f>
        <v>0</v>
      </c>
      <c r="C13" s="56">
        <f t="shared" si="1"/>
        <v>0</v>
      </c>
      <c r="D13" s="56">
        <f t="shared" si="1"/>
        <v>0</v>
      </c>
      <c r="E13" s="56">
        <f t="shared" si="1"/>
        <v>0</v>
      </c>
      <c r="F13" s="56">
        <f t="shared" si="1"/>
        <v>0</v>
      </c>
      <c r="G13" s="56">
        <f t="shared" si="1"/>
        <v>0</v>
      </c>
      <c r="H13" s="56">
        <f>H11</f>
        <v>0</v>
      </c>
      <c r="I13" s="85"/>
      <c r="J13" s="40"/>
      <c r="K13" s="16"/>
      <c r="L13" s="16"/>
    </row>
    <row r="14" spans="1:12" ht="12" customHeight="1" x14ac:dyDescent="0.2">
      <c r="A14" s="66" t="s">
        <v>57</v>
      </c>
      <c r="B14" s="54" t="e">
        <f>'Vrije kasstroom'!E7*B11</f>
        <v>#DIV/0!</v>
      </c>
      <c r="C14" s="54" t="e">
        <f>'Vrije kasstroom'!F7*C11</f>
        <v>#DIV/0!</v>
      </c>
      <c r="D14" s="54" t="e">
        <f>'Vrije kasstroom'!G7*D11</f>
        <v>#DIV/0!</v>
      </c>
      <c r="E14" s="54" t="e">
        <f>'Vrije kasstroom'!H7*E11</f>
        <v>#DIV/0!</v>
      </c>
      <c r="F14" s="54" t="e">
        <f>'Vrije kasstroom'!I7*F11</f>
        <v>#DIV/0!</v>
      </c>
      <c r="G14" s="54" t="e">
        <f>'Vrije kasstroom'!J7*G11</f>
        <v>#DIV/0!</v>
      </c>
      <c r="H14" s="54" t="e">
        <f>'Vrije kasstroom'!J7*H11</f>
        <v>#DIV/0!</v>
      </c>
      <c r="I14" s="85"/>
      <c r="J14" s="40"/>
      <c r="K14" s="16"/>
      <c r="L14" s="16"/>
    </row>
    <row r="15" spans="1:12" ht="12" customHeight="1" x14ac:dyDescent="0.2">
      <c r="A15" s="66" t="s">
        <v>58</v>
      </c>
      <c r="B15" s="54">
        <f>'Invoer algemeen en balans'!E71</f>
        <v>0</v>
      </c>
      <c r="C15" s="54">
        <f>'Invoer algemeen en balans'!F71</f>
        <v>0</v>
      </c>
      <c r="D15" s="54">
        <f>'Invoer algemeen en balans'!G71</f>
        <v>0</v>
      </c>
      <c r="E15" s="54">
        <f>'Invoer algemeen en balans'!H71</f>
        <v>0</v>
      </c>
      <c r="F15" s="54">
        <f>'Invoer algemeen en balans'!I71</f>
        <v>0</v>
      </c>
      <c r="G15" s="54">
        <f>'Invoer algemeen en balans'!J71</f>
        <v>0</v>
      </c>
      <c r="H15" s="56">
        <f>-'Invoer algemeen en balans'!J70*'Invoer algemeen en balans'!inflatie</f>
        <v>0</v>
      </c>
      <c r="I15" s="85"/>
      <c r="J15" s="40"/>
      <c r="K15" s="16"/>
      <c r="L15" s="16"/>
    </row>
    <row r="16" spans="1:12" ht="12" customHeight="1" x14ac:dyDescent="0.2">
      <c r="A16" s="147" t="s">
        <v>230</v>
      </c>
      <c r="B16" s="68">
        <f>'Vrije kasstroom'!E13-B10</f>
        <v>0</v>
      </c>
      <c r="C16" s="68">
        <f>'Vrije kasstroom'!F13-C10</f>
        <v>0</v>
      </c>
      <c r="D16" s="68">
        <f>'Vrije kasstroom'!G13-D10</f>
        <v>0</v>
      </c>
      <c r="E16" s="68">
        <f>'Vrije kasstroom'!H13-E10</f>
        <v>0</v>
      </c>
      <c r="F16" s="68">
        <f>'Vrije kasstroom'!I13-F10</f>
        <v>0</v>
      </c>
      <c r="G16" s="68">
        <f>'Vrije kasstroom'!J13-G10</f>
        <v>0</v>
      </c>
      <c r="H16" s="68"/>
      <c r="I16" s="85"/>
      <c r="J16" s="40"/>
      <c r="K16" s="16"/>
      <c r="L16" s="16"/>
    </row>
    <row r="17" spans="1:10" ht="12" customHeight="1" x14ac:dyDescent="0.2">
      <c r="A17" s="84" t="s">
        <v>174</v>
      </c>
      <c r="B17" s="56" t="e">
        <f>SUM(B13:B16)</f>
        <v>#DIV/0!</v>
      </c>
      <c r="C17" s="56" t="e">
        <f t="shared" ref="C17:H17" si="2">SUM(C13:C16)</f>
        <v>#DIV/0!</v>
      </c>
      <c r="D17" s="56" t="e">
        <f t="shared" si="2"/>
        <v>#DIV/0!</v>
      </c>
      <c r="E17" s="56" t="e">
        <f t="shared" si="2"/>
        <v>#DIV/0!</v>
      </c>
      <c r="F17" s="56" t="e">
        <f t="shared" si="2"/>
        <v>#DIV/0!</v>
      </c>
      <c r="G17" s="56" t="e">
        <f t="shared" si="2"/>
        <v>#DIV/0!</v>
      </c>
      <c r="H17" s="56" t="e">
        <f t="shared" si="2"/>
        <v>#DIV/0!</v>
      </c>
      <c r="I17" s="85"/>
      <c r="J17" s="38"/>
    </row>
    <row r="18" spans="1:10" ht="12" customHeight="1" x14ac:dyDescent="0.2">
      <c r="A18" s="78" t="s">
        <v>142</v>
      </c>
      <c r="B18" s="85"/>
      <c r="C18" s="85"/>
      <c r="D18" s="85"/>
      <c r="E18" s="85"/>
      <c r="F18" s="85"/>
      <c r="G18" s="85"/>
      <c r="H18" s="56" t="e">
        <f>H17/(Rendementseis!C34-'Invoer algemeen en balans'!inflatie)</f>
        <v>#DIV/0!</v>
      </c>
      <c r="I18" s="85"/>
      <c r="J18" s="38"/>
    </row>
    <row r="19" spans="1:10" ht="12" customHeight="1" x14ac:dyDescent="0.2">
      <c r="A19" s="86" t="s">
        <v>68</v>
      </c>
      <c r="B19" s="85" t="e">
        <f>B17/(1+keu)</f>
        <v>#DIV/0!</v>
      </c>
      <c r="C19" s="85" t="e">
        <f>C17/(1+keu)^2</f>
        <v>#DIV/0!</v>
      </c>
      <c r="D19" s="85" t="e">
        <f>D17/(1+keu)^3</f>
        <v>#DIV/0!</v>
      </c>
      <c r="E19" s="85" t="e">
        <f>E17/(1+keu)^4</f>
        <v>#DIV/0!</v>
      </c>
      <c r="F19" s="85" t="e">
        <f>F17/(1+keu)^5</f>
        <v>#DIV/0!</v>
      </c>
      <c r="G19" s="85" t="e">
        <f>G17/(1+keu)^6</f>
        <v>#DIV/0!</v>
      </c>
      <c r="H19" s="85" t="e">
        <f>H18/(1+Rendementseis!C34)^6</f>
        <v>#DIV/0!</v>
      </c>
      <c r="I19" s="85" t="e">
        <f>SUM(B19:H19)</f>
        <v>#DIV/0!</v>
      </c>
      <c r="J19" s="38"/>
    </row>
    <row r="20" spans="1:10" ht="12" customHeight="1" x14ac:dyDescent="0.2">
      <c r="A20" s="86"/>
      <c r="B20" s="85"/>
      <c r="C20" s="85"/>
      <c r="D20" s="85"/>
      <c r="E20" s="85"/>
      <c r="F20" s="85"/>
      <c r="G20" s="85"/>
      <c r="H20" s="87"/>
      <c r="I20" s="85"/>
      <c r="J20" s="38"/>
    </row>
    <row r="21" spans="1:10" ht="12" customHeight="1" x14ac:dyDescent="0.2">
      <c r="A21" s="277" t="s">
        <v>69</v>
      </c>
      <c r="B21" s="269"/>
      <c r="C21" s="85"/>
      <c r="D21" s="85"/>
      <c r="E21" s="85"/>
      <c r="F21" s="85"/>
      <c r="G21" s="85"/>
      <c r="H21" s="87"/>
      <c r="I21" s="85"/>
      <c r="J21" s="38"/>
    </row>
    <row r="22" spans="1:10" ht="12" customHeight="1" x14ac:dyDescent="0.2">
      <c r="A22" s="86" t="s">
        <v>70</v>
      </c>
      <c r="B22" s="85">
        <f>-'Invoer exploitatie'!E93</f>
        <v>0</v>
      </c>
      <c r="C22" s="85">
        <f>-'Invoer exploitatie'!F93</f>
        <v>0</v>
      </c>
      <c r="D22" s="85">
        <f>-'Invoer exploitatie'!G93</f>
        <v>0</v>
      </c>
      <c r="E22" s="85">
        <f>-'Invoer exploitatie'!H93</f>
        <v>0</v>
      </c>
      <c r="F22" s="85">
        <f>-'Invoer exploitatie'!I93</f>
        <v>0</v>
      </c>
      <c r="G22" s="85">
        <f>-'Invoer exploitatie'!J93</f>
        <v>0</v>
      </c>
      <c r="H22" s="87"/>
      <c r="I22" s="85"/>
      <c r="J22" s="38"/>
    </row>
    <row r="23" spans="1:10" ht="12" customHeight="1" x14ac:dyDescent="0.2">
      <c r="A23" s="86" t="s">
        <v>71</v>
      </c>
      <c r="B23" s="85">
        <f>'Invoer exploitatie'!E100-'Vrije kasstroom'!E8</f>
        <v>0</v>
      </c>
      <c r="C23" s="85">
        <f>'Invoer exploitatie'!F100-'Vrije kasstroom'!F8</f>
        <v>0</v>
      </c>
      <c r="D23" s="85">
        <f>'Invoer exploitatie'!G100-'Vrije kasstroom'!G8</f>
        <v>0</v>
      </c>
      <c r="E23" s="85">
        <f>'Invoer exploitatie'!H100-'Vrije kasstroom'!H8</f>
        <v>0</v>
      </c>
      <c r="F23" s="85">
        <f>'Invoer exploitatie'!I100-'Vrije kasstroom'!I8</f>
        <v>0</v>
      </c>
      <c r="G23" s="85">
        <f>'Invoer exploitatie'!J100-'Vrije kasstroom'!J8</f>
        <v>0</v>
      </c>
      <c r="H23" s="87"/>
      <c r="I23" s="85"/>
      <c r="J23" s="38"/>
    </row>
    <row r="24" spans="1:10" ht="12" customHeight="1" x14ac:dyDescent="0.2">
      <c r="A24" s="86" t="s">
        <v>68</v>
      </c>
      <c r="B24" s="85">
        <f>+B23/(1+keu)^1</f>
        <v>0</v>
      </c>
      <c r="C24" s="85">
        <f>+C23/(1+keu)^2</f>
        <v>0</v>
      </c>
      <c r="D24" s="85">
        <f>+D23/(1+keu)^3</f>
        <v>0</v>
      </c>
      <c r="E24" s="85">
        <f>+E23/(1+keu)^4</f>
        <v>0</v>
      </c>
      <c r="F24" s="85">
        <f>+F23/(1+keu)^5</f>
        <v>0</v>
      </c>
      <c r="G24" s="85">
        <f>+G23/(1+keu)^6</f>
        <v>0</v>
      </c>
      <c r="H24" s="87"/>
      <c r="I24" s="85">
        <f>+SUM(B24:G24)</f>
        <v>0</v>
      </c>
      <c r="J24" s="38"/>
    </row>
    <row r="25" spans="1:10" ht="12" customHeight="1" x14ac:dyDescent="0.2">
      <c r="A25" s="86"/>
      <c r="B25" s="88"/>
      <c r="C25" s="88"/>
      <c r="D25" s="88"/>
      <c r="E25" s="88"/>
      <c r="F25" s="88"/>
      <c r="G25" s="88"/>
      <c r="H25" s="89"/>
      <c r="I25" s="88"/>
      <c r="J25" s="38"/>
    </row>
    <row r="26" spans="1:10" ht="12" customHeight="1" x14ac:dyDescent="0.2">
      <c r="A26" s="86"/>
      <c r="B26" s="90"/>
      <c r="C26" s="88"/>
      <c r="D26" s="88"/>
      <c r="E26" s="88"/>
      <c r="F26" s="88"/>
      <c r="G26" s="88"/>
      <c r="H26" s="88"/>
      <c r="I26" s="88"/>
      <c r="J26" s="38"/>
    </row>
    <row r="27" spans="1:10" ht="12" customHeight="1" x14ac:dyDescent="0.2">
      <c r="A27" s="81" t="s">
        <v>61</v>
      </c>
      <c r="B27" s="81"/>
      <c r="C27" s="81"/>
      <c r="D27" s="81"/>
      <c r="E27" s="81"/>
      <c r="F27" s="81"/>
      <c r="G27" s="81"/>
      <c r="H27" s="81"/>
      <c r="I27" s="81"/>
      <c r="J27" s="38"/>
    </row>
    <row r="28" spans="1:10" ht="12" customHeight="1" x14ac:dyDescent="0.2">
      <c r="A28" s="78" t="s">
        <v>72</v>
      </c>
      <c r="B28" s="78"/>
      <c r="C28" s="78"/>
      <c r="D28" s="78"/>
      <c r="E28" s="78"/>
      <c r="F28" s="78"/>
      <c r="G28" s="78"/>
      <c r="H28" s="78"/>
      <c r="I28" s="88" t="e">
        <f>I19</f>
        <v>#DIV/0!</v>
      </c>
      <c r="J28" s="38"/>
    </row>
    <row r="29" spans="1:10" ht="12" customHeight="1" x14ac:dyDescent="0.2">
      <c r="A29" s="277" t="s">
        <v>73</v>
      </c>
      <c r="B29" s="269"/>
      <c r="C29" s="269"/>
      <c r="D29" s="269"/>
      <c r="E29" s="269"/>
      <c r="F29" s="78"/>
      <c r="G29" s="78"/>
      <c r="H29" s="78"/>
      <c r="I29" s="91">
        <f>+I24</f>
        <v>0</v>
      </c>
      <c r="J29" s="38"/>
    </row>
    <row r="30" spans="1:10" ht="12" customHeight="1" x14ac:dyDescent="0.2">
      <c r="A30" s="274" t="s">
        <v>225</v>
      </c>
      <c r="B30" s="274"/>
      <c r="C30" s="274"/>
      <c r="D30" s="78"/>
      <c r="E30" s="78"/>
      <c r="F30" s="78"/>
      <c r="G30" s="78"/>
      <c r="H30" s="78"/>
      <c r="I30" s="103">
        <f>'Invoer algemeen en balans'!D9</f>
        <v>0</v>
      </c>
      <c r="J30" s="38"/>
    </row>
    <row r="31" spans="1:10" ht="12" customHeight="1" x14ac:dyDescent="0.2">
      <c r="A31" s="84" t="s">
        <v>63</v>
      </c>
      <c r="B31" s="84"/>
      <c r="C31" s="84"/>
      <c r="I31" s="103">
        <f>'Invoer algemeen en balans'!D10+'Invoer algemeen en balans'!D11</f>
        <v>0</v>
      </c>
      <c r="J31" s="38"/>
    </row>
    <row r="32" spans="1:10" ht="12" customHeight="1" x14ac:dyDescent="0.2">
      <c r="A32" s="66" t="s">
        <v>64</v>
      </c>
      <c r="B32" s="84"/>
      <c r="C32" s="84"/>
      <c r="D32" s="78"/>
      <c r="E32" s="78"/>
      <c r="F32" s="78"/>
      <c r="G32" s="78"/>
      <c r="H32" s="78"/>
      <c r="I32" s="115">
        <f>'Invoer algemeen en balans'!D12+'Invoer algemeen en balans'!D13</f>
        <v>0</v>
      </c>
      <c r="J32" s="38"/>
    </row>
    <row r="33" spans="1:10" ht="12" customHeight="1" x14ac:dyDescent="0.2">
      <c r="A33" s="86" t="s">
        <v>65</v>
      </c>
      <c r="B33" s="78"/>
      <c r="C33" s="78"/>
      <c r="D33" s="78"/>
      <c r="E33" s="78"/>
      <c r="F33" s="78"/>
      <c r="G33" s="78"/>
      <c r="H33" s="78"/>
      <c r="I33" s="88" t="e">
        <f>I28+I29-I30-I31+I32</f>
        <v>#DIV/0!</v>
      </c>
      <c r="J33" s="38"/>
    </row>
    <row r="34" spans="1:10" ht="12" customHeight="1" x14ac:dyDescent="0.2">
      <c r="A34" s="78"/>
      <c r="B34" s="78"/>
      <c r="C34" s="78"/>
      <c r="D34" s="78"/>
      <c r="E34" s="78"/>
      <c r="F34" s="78"/>
      <c r="G34" s="78"/>
      <c r="H34" s="78"/>
      <c r="I34" s="78"/>
      <c r="J34" s="38"/>
    </row>
    <row r="35" spans="1:10" ht="12" customHeight="1" x14ac:dyDescent="0.2">
      <c r="A35" s="82" t="s">
        <v>333</v>
      </c>
      <c r="B35" s="112"/>
      <c r="C35" s="112"/>
      <c r="D35" s="112"/>
      <c r="E35" s="112"/>
      <c r="F35" s="112"/>
      <c r="G35" s="113"/>
      <c r="H35" s="113"/>
      <c r="I35" s="82"/>
      <c r="J35" s="38"/>
    </row>
    <row r="36" spans="1:10" ht="12" customHeight="1" x14ac:dyDescent="0.2">
      <c r="A36" s="275" t="str">
        <f>IF('Invoer exploitatie'!J18&gt;20%,"Ratio EBITDA tot sales is hoger dan 20% in het laatste prognosejaar en daarmee in de restperiode. Verklaren waarom dit realistisch en duurzaam is!",IF('Invoer exploitatie'!J18-AVERAGE('Invoer exploitatie'!B18:D18)&gt;2%,"Ratio EBITDA tot sales is in het laatste prognosejaar en daarmee in de restperiode 2% hoger dan in de historische jaren. Verklaren waarom dit realistisch en duurzaam is!",""))</f>
        <v/>
      </c>
      <c r="B36" s="275"/>
      <c r="C36" s="275"/>
      <c r="D36" s="275"/>
      <c r="E36" s="275"/>
      <c r="F36" s="275"/>
      <c r="G36" s="275"/>
      <c r="H36" s="275"/>
      <c r="I36" s="275"/>
      <c r="J36" s="38"/>
    </row>
    <row r="37" spans="1:10" ht="12" customHeight="1" x14ac:dyDescent="0.2">
      <c r="A37" s="276" t="str">
        <f>IF('Vrije kasstroom'!E16&amp;'Vrije kasstroom'!F16&amp;'Vrije kasstroom'!G16&amp;'Vrije kasstroom'!H16&amp;'Vrije kasstroom'!I16&amp;'Vrije kasstroom'!J16="","","De mutatie werkkapitaal is groter dan 5% van de waarde. Verklaren waarom dit realistisch is!")</f>
        <v/>
      </c>
      <c r="B37" s="276"/>
      <c r="C37" s="276"/>
      <c r="D37" s="276"/>
      <c r="E37" s="276"/>
      <c r="F37" s="276"/>
      <c r="G37" s="276"/>
      <c r="H37" s="276"/>
      <c r="I37" s="276"/>
    </row>
    <row r="38" spans="1:10" ht="12" customHeight="1" x14ac:dyDescent="0.2">
      <c r="A38" s="19"/>
      <c r="B38" s="17"/>
      <c r="C38" s="17"/>
      <c r="D38" s="17"/>
      <c r="E38" s="17"/>
      <c r="F38" s="17"/>
      <c r="G38" s="17"/>
      <c r="H38" s="17"/>
      <c r="I38" s="18"/>
    </row>
    <row r="39" spans="1:10" hidden="1" x14ac:dyDescent="0.2">
      <c r="A39" s="17"/>
      <c r="B39" s="17"/>
      <c r="C39" s="17"/>
      <c r="D39" s="17"/>
      <c r="E39" s="17"/>
      <c r="F39" s="17"/>
      <c r="G39" s="17"/>
      <c r="H39" s="17"/>
      <c r="I39" s="32"/>
    </row>
    <row r="40" spans="1:10" hidden="1" x14ac:dyDescent="0.2">
      <c r="A40" s="19"/>
      <c r="B40" s="17"/>
      <c r="C40" s="17"/>
      <c r="D40" s="17"/>
      <c r="E40" s="17"/>
      <c r="F40" s="17"/>
      <c r="G40" s="17"/>
      <c r="H40" s="17"/>
      <c r="I40" s="18"/>
    </row>
    <row r="41" spans="1:10" hidden="1" x14ac:dyDescent="0.2">
      <c r="C41" s="16"/>
    </row>
    <row r="42" spans="1:10" hidden="1" x14ac:dyDescent="0.2">
      <c r="C42" s="16"/>
    </row>
    <row r="43" spans="1:10" hidden="1" x14ac:dyDescent="0.2">
      <c r="C43" s="20"/>
    </row>
    <row r="44" spans="1:10" ht="10.15" hidden="1" customHeight="1" x14ac:dyDescent="0.2">
      <c r="C44" s="20"/>
    </row>
    <row r="45" spans="1:10" ht="10.15" hidden="1" customHeight="1" x14ac:dyDescent="0.2">
      <c r="C45" s="16"/>
    </row>
    <row r="46" spans="1:10" ht="10.15" hidden="1" customHeight="1" x14ac:dyDescent="0.2">
      <c r="H46" s="21"/>
    </row>
    <row r="47" spans="1:10" ht="10.15" hidden="1" customHeight="1" x14ac:dyDescent="0.2"/>
    <row r="48" spans="1:10" ht="10.15" hidden="1" customHeight="1" x14ac:dyDescent="0.2"/>
    <row r="49" ht="10.15" hidden="1" customHeight="1" x14ac:dyDescent="0.2"/>
    <row r="50" ht="10.15" hidden="1" customHeight="1" x14ac:dyDescent="0.2"/>
    <row r="51" ht="10.15" hidden="1" customHeight="1" x14ac:dyDescent="0.2"/>
    <row r="52" ht="10.15" hidden="1" customHeight="1" x14ac:dyDescent="0.2"/>
    <row r="53" ht="10.15" hidden="1" customHeight="1" x14ac:dyDescent="0.2"/>
    <row r="54" ht="10.15" hidden="1" customHeight="1" x14ac:dyDescent="0.2"/>
    <row r="55" ht="10.15" hidden="1" customHeight="1" x14ac:dyDescent="0.2"/>
    <row r="56" ht="10.15" hidden="1" customHeight="1" x14ac:dyDescent="0.2"/>
    <row r="57" ht="10.15" hidden="1" customHeight="1" x14ac:dyDescent="0.2"/>
    <row r="58" ht="10.15" hidden="1" customHeight="1" x14ac:dyDescent="0.2"/>
    <row r="59" ht="10.15" hidden="1" customHeight="1" x14ac:dyDescent="0.2"/>
    <row r="60" ht="10.15" hidden="1" customHeight="1" x14ac:dyDescent="0.2"/>
    <row r="61" ht="10.15" hidden="1" customHeight="1" x14ac:dyDescent="0.2"/>
    <row r="62" ht="10.15" hidden="1" customHeight="1" x14ac:dyDescent="0.2"/>
    <row r="63" ht="10.15" hidden="1" customHeight="1" x14ac:dyDescent="0.2"/>
    <row r="64" ht="10.15" hidden="1" customHeight="1" x14ac:dyDescent="0.2"/>
    <row r="65" ht="10.15" hidden="1" customHeight="1" x14ac:dyDescent="0.2"/>
    <row r="66" ht="10.15" hidden="1" customHeight="1" x14ac:dyDescent="0.2"/>
    <row r="67" ht="10.15" hidden="1" customHeight="1" x14ac:dyDescent="0.2"/>
    <row r="68" ht="10.15" hidden="1" customHeight="1" x14ac:dyDescent="0.2"/>
    <row r="69" ht="10.15" hidden="1" customHeight="1" x14ac:dyDescent="0.2"/>
    <row r="70" ht="10.15" hidden="1" customHeight="1" x14ac:dyDescent="0.2"/>
    <row r="71" ht="10.15" hidden="1" customHeight="1" x14ac:dyDescent="0.2"/>
    <row r="72" ht="10.15" hidden="1" customHeight="1" x14ac:dyDescent="0.2"/>
    <row r="73" ht="10.15" hidden="1" customHeight="1" x14ac:dyDescent="0.2"/>
    <row r="74" ht="10.15" hidden="1" customHeight="1" x14ac:dyDescent="0.2"/>
    <row r="75" ht="10.15" hidden="1" customHeight="1" x14ac:dyDescent="0.2"/>
    <row r="76" ht="10.15" hidden="1" customHeight="1" x14ac:dyDescent="0.2"/>
    <row r="77" ht="10.15" hidden="1" customHeight="1" x14ac:dyDescent="0.2"/>
    <row r="78" ht="10.15" hidden="1" customHeight="1" x14ac:dyDescent="0.2"/>
    <row r="79" ht="10.15" hidden="1" customHeight="1" x14ac:dyDescent="0.2"/>
    <row r="80" ht="10.15" hidden="1" customHeight="1" x14ac:dyDescent="0.2"/>
    <row r="81" ht="10.15" hidden="1" customHeight="1" x14ac:dyDescent="0.2"/>
    <row r="82" ht="10.15" hidden="1" customHeight="1" x14ac:dyDescent="0.2"/>
    <row r="83" ht="10.15" hidden="1" customHeight="1" x14ac:dyDescent="0.2"/>
    <row r="84" ht="10.15" hidden="1" customHeight="1" x14ac:dyDescent="0.2"/>
    <row r="85" ht="10.15" hidden="1" customHeight="1" x14ac:dyDescent="0.2"/>
    <row r="86" ht="10.15" hidden="1" customHeight="1" x14ac:dyDescent="0.2"/>
    <row r="87" ht="10.15" hidden="1" customHeight="1" x14ac:dyDescent="0.2"/>
    <row r="88" ht="10.15" hidden="1" customHeight="1" x14ac:dyDescent="0.2"/>
    <row r="89" ht="10.15" hidden="1" customHeight="1" x14ac:dyDescent="0.2"/>
    <row r="90" ht="10.15" hidden="1" customHeight="1" x14ac:dyDescent="0.2"/>
    <row r="91" ht="10.15" hidden="1" customHeight="1" x14ac:dyDescent="0.2"/>
    <row r="92" ht="10.15" hidden="1" customHeight="1" x14ac:dyDescent="0.2"/>
    <row r="93" ht="10.15" hidden="1" customHeight="1" x14ac:dyDescent="0.2"/>
    <row r="113" ht="14.25" hidden="1" customHeight="1" x14ac:dyDescent="0.2"/>
    <row r="114" ht="12" hidden="1" customHeight="1" x14ac:dyDescent="0.2"/>
  </sheetData>
  <sheetProtection sheet="1"/>
  <mergeCells count="5">
    <mergeCell ref="A21:B21"/>
    <mergeCell ref="A29:E29"/>
    <mergeCell ref="A30:C30"/>
    <mergeCell ref="A36:I36"/>
    <mergeCell ref="A37:I37"/>
  </mergeCells>
  <pageMargins left="0.7" right="0.7"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IV118"/>
  <sheetViews>
    <sheetView showGridLines="0" zoomScaleNormal="100" zoomScaleSheetLayoutView="130" workbookViewId="0">
      <selection activeCell="H11" sqref="H11"/>
    </sheetView>
  </sheetViews>
  <sheetFormatPr defaultColWidth="0" defaultRowHeight="12" zeroHeight="1" x14ac:dyDescent="0.2"/>
  <cols>
    <col min="1" max="1" width="50.42578125" style="15" bestFit="1" customWidth="1"/>
    <col min="2" max="11" width="9.7109375" style="15" customWidth="1"/>
    <col min="12" max="12" width="2" style="15" customWidth="1"/>
    <col min="13" max="13" width="7.28515625" style="15" hidden="1" customWidth="1"/>
    <col min="14" max="14" width="7.85546875" style="15" hidden="1" customWidth="1"/>
    <col min="15" max="15" width="7.28515625" style="15" hidden="1" customWidth="1"/>
    <col min="16" max="16" width="7.85546875" style="15" hidden="1" customWidth="1"/>
    <col min="17" max="16384" width="0" style="15" hidden="1"/>
  </cols>
  <sheetData>
    <row r="1" spans="1:12" s="24" customFormat="1" ht="14.25" x14ac:dyDescent="0.2">
      <c r="A1" s="1" t="s">
        <v>74</v>
      </c>
      <c r="B1" s="25"/>
      <c r="C1" s="25"/>
      <c r="D1" s="25"/>
      <c r="E1" s="25"/>
      <c r="F1" s="25"/>
      <c r="G1" s="25"/>
      <c r="H1" s="25"/>
      <c r="I1" s="25"/>
      <c r="J1" s="25"/>
      <c r="K1" s="25"/>
      <c r="L1" s="25"/>
    </row>
    <row r="2" spans="1:12" ht="12" customHeight="1" x14ac:dyDescent="0.2">
      <c r="A2" s="49"/>
      <c r="B2" s="50"/>
      <c r="C2" s="50"/>
      <c r="D2" s="50"/>
      <c r="E2" s="50"/>
      <c r="F2" s="50"/>
      <c r="G2" s="50"/>
      <c r="H2" s="50"/>
      <c r="I2" s="50"/>
      <c r="J2" s="50"/>
      <c r="K2" s="50"/>
      <c r="L2" s="38"/>
    </row>
    <row r="3" spans="1:12" ht="12" customHeight="1" x14ac:dyDescent="0.2">
      <c r="A3" s="51" t="s">
        <v>141</v>
      </c>
      <c r="B3" s="52"/>
      <c r="C3" s="53">
        <v>0</v>
      </c>
      <c r="D3" s="52"/>
      <c r="E3" s="38"/>
      <c r="F3" s="38"/>
      <c r="G3" s="38"/>
      <c r="H3" s="38"/>
      <c r="I3" s="38"/>
      <c r="J3" s="52"/>
      <c r="K3" s="52"/>
      <c r="L3" s="38"/>
    </row>
    <row r="4" spans="1:12" ht="12" customHeight="1" x14ac:dyDescent="0.2">
      <c r="A4" s="51" t="s">
        <v>224</v>
      </c>
      <c r="B4" s="137"/>
      <c r="C4" s="53">
        <f>'Invoer algemeen en balans'!D9</f>
        <v>0</v>
      </c>
      <c r="D4" s="137"/>
      <c r="E4" s="38"/>
      <c r="F4" s="38"/>
      <c r="G4" s="38"/>
      <c r="H4" s="38"/>
      <c r="I4" s="38"/>
      <c r="J4" s="137"/>
      <c r="K4" s="137"/>
      <c r="L4" s="38"/>
    </row>
    <row r="5" spans="1:12" ht="12" customHeight="1" x14ac:dyDescent="0.2">
      <c r="A5" s="51" t="s">
        <v>75</v>
      </c>
      <c r="B5" s="52"/>
      <c r="C5" s="55">
        <f>SUM(C3:C4)</f>
        <v>0</v>
      </c>
      <c r="D5" s="52"/>
      <c r="E5" s="38"/>
      <c r="F5" s="38"/>
      <c r="G5" s="38"/>
      <c r="H5" s="38"/>
      <c r="I5" s="38"/>
      <c r="J5" s="52"/>
      <c r="K5" s="52"/>
      <c r="L5" s="38"/>
    </row>
    <row r="6" spans="1:12" ht="12" customHeight="1" x14ac:dyDescent="0.2">
      <c r="A6" s="51" t="s">
        <v>76</v>
      </c>
      <c r="B6" s="52"/>
      <c r="C6" s="56">
        <f>'Invoer algemeen en balans'!D10</f>
        <v>0</v>
      </c>
      <c r="D6" s="52"/>
      <c r="E6" s="38"/>
      <c r="F6" s="38"/>
      <c r="G6" s="38"/>
      <c r="H6" s="38"/>
      <c r="I6" s="38"/>
      <c r="J6" s="52"/>
      <c r="K6" s="52"/>
      <c r="L6" s="38"/>
    </row>
    <row r="7" spans="1:12" ht="12" customHeight="1" x14ac:dyDescent="0.2">
      <c r="A7" s="51" t="s">
        <v>77</v>
      </c>
      <c r="B7" s="57">
        <v>0.05</v>
      </c>
      <c r="C7" s="38"/>
      <c r="D7" s="52"/>
      <c r="E7" s="38"/>
      <c r="F7" s="38"/>
      <c r="G7" s="38"/>
      <c r="H7" s="38"/>
      <c r="I7" s="38"/>
      <c r="J7" s="52"/>
      <c r="K7" s="52"/>
      <c r="L7" s="38"/>
    </row>
    <row r="8" spans="1:12" ht="12" customHeight="1" x14ac:dyDescent="0.2">
      <c r="A8" s="52" t="s">
        <v>78</v>
      </c>
      <c r="B8" s="52"/>
      <c r="C8" s="53">
        <v>0</v>
      </c>
      <c r="D8" s="52"/>
      <c r="E8" s="38"/>
      <c r="F8" s="38"/>
      <c r="G8" s="38"/>
      <c r="H8" s="38"/>
      <c r="I8" s="38"/>
      <c r="J8" s="52"/>
      <c r="K8" s="52"/>
      <c r="L8" s="38"/>
    </row>
    <row r="9" spans="1:12" ht="12" customHeight="1" x14ac:dyDescent="0.2">
      <c r="A9" s="52" t="s">
        <v>79</v>
      </c>
      <c r="B9" s="58">
        <v>0</v>
      </c>
      <c r="C9" s="59"/>
      <c r="D9" s="52"/>
      <c r="E9" s="38"/>
      <c r="F9" s="38"/>
      <c r="G9" s="38"/>
      <c r="H9" s="38"/>
      <c r="I9" s="38"/>
      <c r="J9" s="52"/>
      <c r="K9" s="52"/>
      <c r="L9" s="38"/>
    </row>
    <row r="10" spans="1:12" ht="12" customHeight="1" x14ac:dyDescent="0.2">
      <c r="A10" s="52" t="s">
        <v>80</v>
      </c>
      <c r="B10" s="52"/>
      <c r="C10" s="53">
        <f>C6</f>
        <v>0</v>
      </c>
      <c r="D10" s="52"/>
      <c r="E10" s="38"/>
      <c r="F10" s="38"/>
      <c r="G10" s="38"/>
      <c r="H10" s="38"/>
      <c r="I10" s="38"/>
      <c r="J10" s="52"/>
      <c r="K10" s="52"/>
      <c r="L10" s="38"/>
    </row>
    <row r="11" spans="1:12" ht="12" customHeight="1" x14ac:dyDescent="0.2">
      <c r="A11" s="52" t="s">
        <v>81</v>
      </c>
      <c r="B11" s="60">
        <v>10</v>
      </c>
      <c r="C11" s="59"/>
      <c r="D11" s="52"/>
      <c r="E11" s="38"/>
      <c r="F11" s="38"/>
      <c r="G11" s="38"/>
      <c r="H11" s="38"/>
      <c r="I11" s="38"/>
      <c r="J11" s="52"/>
      <c r="K11" s="52"/>
      <c r="L11" s="38"/>
    </row>
    <row r="12" spans="1:12" ht="12" customHeight="1" x14ac:dyDescent="0.2">
      <c r="A12" s="52" t="s">
        <v>82</v>
      </c>
      <c r="B12" s="58">
        <v>0</v>
      </c>
      <c r="C12" s="59"/>
      <c r="D12" s="52"/>
      <c r="E12" s="38"/>
      <c r="F12" s="38"/>
      <c r="G12" s="38"/>
      <c r="H12" s="38"/>
      <c r="I12" s="38"/>
      <c r="J12" s="52"/>
      <c r="K12" s="38"/>
      <c r="L12" s="38"/>
    </row>
    <row r="13" spans="1:12" ht="12" customHeight="1" x14ac:dyDescent="0.2">
      <c r="A13" s="52" t="s">
        <v>83</v>
      </c>
      <c r="B13" s="52"/>
      <c r="C13" s="53">
        <v>0</v>
      </c>
      <c r="D13" s="52"/>
      <c r="E13" s="38"/>
      <c r="F13" s="38"/>
      <c r="G13" s="38"/>
      <c r="H13" s="38"/>
      <c r="I13" s="38"/>
      <c r="J13" s="52"/>
      <c r="K13" s="38"/>
      <c r="L13" s="38"/>
    </row>
    <row r="14" spans="1:12" ht="12" customHeight="1" x14ac:dyDescent="0.2">
      <c r="A14" s="51" t="s">
        <v>84</v>
      </c>
      <c r="B14" s="52"/>
      <c r="C14" s="53">
        <f>C5-C8-C10-C13</f>
        <v>0</v>
      </c>
      <c r="D14" s="52"/>
      <c r="E14" s="38"/>
      <c r="F14" s="38"/>
      <c r="G14" s="38"/>
      <c r="H14" s="38"/>
      <c r="I14" s="38"/>
      <c r="J14" s="52"/>
      <c r="K14" s="38"/>
      <c r="L14" s="38"/>
    </row>
    <row r="15" spans="1:12" ht="12" customHeight="1" x14ac:dyDescent="0.2">
      <c r="A15" s="52" t="s">
        <v>85</v>
      </c>
      <c r="B15" s="58">
        <v>0</v>
      </c>
      <c r="C15" s="59"/>
      <c r="D15" s="52"/>
      <c r="E15" s="38"/>
      <c r="F15" s="38"/>
      <c r="G15" s="38"/>
      <c r="H15" s="38"/>
      <c r="I15" s="38"/>
      <c r="J15" s="52"/>
      <c r="K15" s="38"/>
      <c r="L15" s="38"/>
    </row>
    <row r="16" spans="1:12" ht="12" customHeight="1" x14ac:dyDescent="0.2">
      <c r="A16" s="52" t="s">
        <v>86</v>
      </c>
      <c r="B16" s="52"/>
      <c r="C16" s="55">
        <f>C5-C8-C10-C13-C14</f>
        <v>0</v>
      </c>
      <c r="D16" s="52"/>
      <c r="E16" s="38"/>
      <c r="F16" s="38"/>
      <c r="G16" s="38"/>
      <c r="H16" s="38"/>
      <c r="I16" s="38"/>
      <c r="J16" s="52"/>
      <c r="K16" s="38"/>
      <c r="L16" s="38"/>
    </row>
    <row r="17" spans="1:14" ht="12" customHeight="1" x14ac:dyDescent="0.2">
      <c r="A17" s="38"/>
      <c r="B17" s="38"/>
      <c r="C17" s="38"/>
      <c r="D17" s="61"/>
      <c r="E17" s="38"/>
      <c r="F17" s="38"/>
      <c r="G17" s="38"/>
      <c r="H17" s="38"/>
      <c r="I17" s="38"/>
      <c r="J17" s="38"/>
      <c r="K17" s="38"/>
      <c r="L17" s="38"/>
    </row>
    <row r="18" spans="1:14" ht="12" customHeight="1" x14ac:dyDescent="0.2">
      <c r="A18" s="3" t="str">
        <f>"Jaar             "&amp;"(bedragen x € "&amp;IF('Invoer algemeen en balans'!$D$4="x 1.000","1.000",1)&amp;")"</f>
        <v>Jaar             (bedragen x € 1.000)</v>
      </c>
      <c r="B18" s="62">
        <f>'Invoer algemeen en balans'!E15</f>
        <v>2021</v>
      </c>
      <c r="C18" s="63">
        <f t="shared" ref="C18:K18" si="0">B18+1</f>
        <v>2022</v>
      </c>
      <c r="D18" s="63">
        <f t="shared" si="0"/>
        <v>2023</v>
      </c>
      <c r="E18" s="63">
        <f t="shared" si="0"/>
        <v>2024</v>
      </c>
      <c r="F18" s="63">
        <f t="shared" si="0"/>
        <v>2025</v>
      </c>
      <c r="G18" s="63">
        <f t="shared" si="0"/>
        <v>2026</v>
      </c>
      <c r="H18" s="63">
        <f t="shared" si="0"/>
        <v>2027</v>
      </c>
      <c r="I18" s="63">
        <f t="shared" si="0"/>
        <v>2028</v>
      </c>
      <c r="J18" s="63">
        <f t="shared" si="0"/>
        <v>2029</v>
      </c>
      <c r="K18" s="63">
        <f t="shared" si="0"/>
        <v>2030</v>
      </c>
      <c r="L18" s="38"/>
    </row>
    <row r="19" spans="1:14" ht="12" customHeight="1" x14ac:dyDescent="0.2">
      <c r="A19" s="38" t="s">
        <v>53</v>
      </c>
      <c r="B19" s="55">
        <f>'Invoer exploitatie'!E26</f>
        <v>0</v>
      </c>
      <c r="C19" s="55">
        <f>'Invoer exploitatie'!F26</f>
        <v>0</v>
      </c>
      <c r="D19" s="55">
        <f>'Invoer exploitatie'!G26</f>
        <v>0</v>
      </c>
      <c r="E19" s="55">
        <f>'Invoer exploitatie'!H26</f>
        <v>0</v>
      </c>
      <c r="F19" s="55">
        <f>'Invoer exploitatie'!I26</f>
        <v>0</v>
      </c>
      <c r="G19" s="55">
        <f>'Invoer exploitatie'!J26</f>
        <v>0</v>
      </c>
      <c r="H19" s="55">
        <f t="shared" ref="H19:K22" si="1">G19</f>
        <v>0</v>
      </c>
      <c r="I19" s="55">
        <f t="shared" si="1"/>
        <v>0</v>
      </c>
      <c r="J19" s="55">
        <f t="shared" si="1"/>
        <v>0</v>
      </c>
      <c r="K19" s="55">
        <f t="shared" si="1"/>
        <v>0</v>
      </c>
      <c r="L19" s="40"/>
      <c r="M19" s="16"/>
      <c r="N19" s="16"/>
    </row>
    <row r="20" spans="1:14" ht="12" customHeight="1" x14ac:dyDescent="0.2">
      <c r="A20" s="38" t="s">
        <v>54</v>
      </c>
      <c r="B20" s="55">
        <f>-'Invoer exploitatie'!E34</f>
        <v>0</v>
      </c>
      <c r="C20" s="55">
        <f>-'Invoer exploitatie'!F34</f>
        <v>0</v>
      </c>
      <c r="D20" s="55">
        <f>-'Invoer exploitatie'!G34</f>
        <v>0</v>
      </c>
      <c r="E20" s="55">
        <f>-'Invoer exploitatie'!H34</f>
        <v>0</v>
      </c>
      <c r="F20" s="55">
        <f>-'Invoer exploitatie'!I34</f>
        <v>0</v>
      </c>
      <c r="G20" s="55">
        <f>-'Invoer exploitatie'!J34</f>
        <v>0</v>
      </c>
      <c r="H20" s="55">
        <f t="shared" si="1"/>
        <v>0</v>
      </c>
      <c r="I20" s="55">
        <f t="shared" si="1"/>
        <v>0</v>
      </c>
      <c r="J20" s="55">
        <f t="shared" si="1"/>
        <v>0</v>
      </c>
      <c r="K20" s="55">
        <f t="shared" si="1"/>
        <v>0</v>
      </c>
      <c r="L20" s="40"/>
      <c r="M20" s="16"/>
      <c r="N20" s="16"/>
    </row>
    <row r="21" spans="1:14" ht="12" customHeight="1" x14ac:dyDescent="0.2">
      <c r="A21" s="38" t="s">
        <v>36</v>
      </c>
      <c r="B21" s="55">
        <f>-'Invoer exploitatie'!E78</f>
        <v>0</v>
      </c>
      <c r="C21" s="55">
        <f>-'Invoer exploitatie'!F78</f>
        <v>0</v>
      </c>
      <c r="D21" s="55">
        <f>-'Invoer exploitatie'!G78</f>
        <v>0</v>
      </c>
      <c r="E21" s="55">
        <f>-'Invoer exploitatie'!H78</f>
        <v>0</v>
      </c>
      <c r="F21" s="55">
        <f>-'Invoer exploitatie'!I78</f>
        <v>0</v>
      </c>
      <c r="G21" s="55">
        <f>-'Invoer exploitatie'!J78</f>
        <v>0</v>
      </c>
      <c r="H21" s="55">
        <f t="shared" si="1"/>
        <v>0</v>
      </c>
      <c r="I21" s="55">
        <f t="shared" si="1"/>
        <v>0</v>
      </c>
      <c r="J21" s="55">
        <f t="shared" si="1"/>
        <v>0</v>
      </c>
      <c r="K21" s="55">
        <f t="shared" si="1"/>
        <v>0</v>
      </c>
      <c r="L21" s="40"/>
      <c r="M21" s="16"/>
      <c r="N21" s="16"/>
    </row>
    <row r="22" spans="1:14" ht="12" customHeight="1" x14ac:dyDescent="0.2">
      <c r="A22" s="38" t="s">
        <v>37</v>
      </c>
      <c r="B22" s="55">
        <f>-'Invoer exploitatie'!E88</f>
        <v>0</v>
      </c>
      <c r="C22" s="55">
        <f>-'Invoer exploitatie'!F88</f>
        <v>0</v>
      </c>
      <c r="D22" s="55">
        <f>-'Invoer exploitatie'!G88</f>
        <v>0</v>
      </c>
      <c r="E22" s="55">
        <f>-'Invoer exploitatie'!H88</f>
        <v>0</v>
      </c>
      <c r="F22" s="55">
        <f>-'Invoer exploitatie'!I88</f>
        <v>0</v>
      </c>
      <c r="G22" s="55">
        <f>-'Invoer exploitatie'!J88</f>
        <v>0</v>
      </c>
      <c r="H22" s="64">
        <f t="shared" si="1"/>
        <v>0</v>
      </c>
      <c r="I22" s="64">
        <f t="shared" si="1"/>
        <v>0</v>
      </c>
      <c r="J22" s="64">
        <f t="shared" si="1"/>
        <v>0</v>
      </c>
      <c r="K22" s="64">
        <f t="shared" si="1"/>
        <v>0</v>
      </c>
      <c r="L22" s="40"/>
      <c r="M22" s="16"/>
      <c r="N22" s="16"/>
    </row>
    <row r="23" spans="1:14" ht="12" customHeight="1" x14ac:dyDescent="0.2">
      <c r="A23" s="2" t="s">
        <v>55</v>
      </c>
      <c r="B23" s="55">
        <f>'Vrije kasstroom'!E5</f>
        <v>0</v>
      </c>
      <c r="C23" s="55">
        <f>'Vrije kasstroom'!F5</f>
        <v>0</v>
      </c>
      <c r="D23" s="55">
        <f>'Vrije kasstroom'!G5</f>
        <v>0</v>
      </c>
      <c r="E23" s="55">
        <f>'Vrije kasstroom'!H5</f>
        <v>0</v>
      </c>
      <c r="F23" s="55">
        <f>'Vrije kasstroom'!I5</f>
        <v>0</v>
      </c>
      <c r="G23" s="55">
        <f>'Vrije kasstroom'!J5</f>
        <v>0</v>
      </c>
      <c r="H23" s="55"/>
      <c r="I23" s="55"/>
      <c r="J23" s="55"/>
      <c r="K23" s="55"/>
      <c r="L23" s="40"/>
      <c r="M23" s="16"/>
      <c r="N23" s="16"/>
    </row>
    <row r="24" spans="1:14" ht="12" customHeight="1" x14ac:dyDescent="0.2">
      <c r="A24" s="2" t="s">
        <v>56</v>
      </c>
      <c r="B24" s="55">
        <f>SUM(B19:B23)</f>
        <v>0</v>
      </c>
      <c r="C24" s="55">
        <f t="shared" ref="C24:K24" si="2">SUM(C19:C23)</f>
        <v>0</v>
      </c>
      <c r="D24" s="55">
        <f t="shared" si="2"/>
        <v>0</v>
      </c>
      <c r="E24" s="55">
        <f t="shared" si="2"/>
        <v>0</v>
      </c>
      <c r="F24" s="55">
        <f t="shared" si="2"/>
        <v>0</v>
      </c>
      <c r="G24" s="55">
        <f t="shared" si="2"/>
        <v>0</v>
      </c>
      <c r="H24" s="55">
        <f t="shared" si="2"/>
        <v>0</v>
      </c>
      <c r="I24" s="55">
        <f t="shared" si="2"/>
        <v>0</v>
      </c>
      <c r="J24" s="55">
        <f t="shared" si="2"/>
        <v>0</v>
      </c>
      <c r="K24" s="55">
        <f t="shared" si="2"/>
        <v>0</v>
      </c>
      <c r="L24" s="40"/>
      <c r="M24" s="16"/>
      <c r="N24" s="16"/>
    </row>
    <row r="25" spans="1:14" ht="12" customHeight="1" x14ac:dyDescent="0.2">
      <c r="A25" s="38" t="s">
        <v>140</v>
      </c>
      <c r="B25" s="65" t="e">
        <f>-'Invoer exploitatie'!E99*B24</f>
        <v>#VALUE!</v>
      </c>
      <c r="C25" s="65" t="e">
        <f>-'Invoer exploitatie'!F99*C24</f>
        <v>#VALUE!</v>
      </c>
      <c r="D25" s="65" t="e">
        <f>-'Invoer exploitatie'!G99*D24</f>
        <v>#VALUE!</v>
      </c>
      <c r="E25" s="65" t="e">
        <f>-'Invoer exploitatie'!H99*E24</f>
        <v>#VALUE!</v>
      </c>
      <c r="F25" s="65" t="e">
        <f>-'Invoer exploitatie'!I99*F24</f>
        <v>#VALUE!</v>
      </c>
      <c r="G25" s="65" t="e">
        <f>-'Invoer exploitatie'!J99*G24</f>
        <v>#VALUE!</v>
      </c>
      <c r="H25" s="65" t="e">
        <f>-'Invoer exploitatie'!$J$99*H24</f>
        <v>#VALUE!</v>
      </c>
      <c r="I25" s="65" t="e">
        <f>-'Invoer exploitatie'!$J$99*I24</f>
        <v>#VALUE!</v>
      </c>
      <c r="J25" s="65" t="e">
        <f>-'Invoer exploitatie'!$J$99*J24</f>
        <v>#VALUE!</v>
      </c>
      <c r="K25" s="65" t="e">
        <f>-'Invoer exploitatie'!$J$99*K24</f>
        <v>#VALUE!</v>
      </c>
      <c r="L25" s="40"/>
      <c r="M25" s="16"/>
      <c r="N25" s="16"/>
    </row>
    <row r="26" spans="1:14" ht="12" customHeight="1" x14ac:dyDescent="0.2">
      <c r="A26" s="2" t="s">
        <v>44</v>
      </c>
      <c r="B26" s="65">
        <f>'Invoer algemeen en balans'!E71</f>
        <v>0</v>
      </c>
      <c r="C26" s="65">
        <f>'Invoer algemeen en balans'!F71</f>
        <v>0</v>
      </c>
      <c r="D26" s="65">
        <f>'Invoer algemeen en balans'!G71</f>
        <v>0</v>
      </c>
      <c r="E26" s="65">
        <f>'Invoer algemeen en balans'!H71</f>
        <v>0</v>
      </c>
      <c r="F26" s="65">
        <f>'Invoer algemeen en balans'!I71</f>
        <v>0</v>
      </c>
      <c r="G26" s="65">
        <f>'Invoer algemeen en balans'!J71</f>
        <v>0</v>
      </c>
      <c r="H26" s="64">
        <v>0</v>
      </c>
      <c r="I26" s="64">
        <v>0</v>
      </c>
      <c r="J26" s="64">
        <v>0</v>
      </c>
      <c r="K26" s="64">
        <v>0</v>
      </c>
      <c r="L26" s="40"/>
      <c r="M26" s="16"/>
      <c r="N26" s="16"/>
    </row>
    <row r="27" spans="1:14" ht="12" customHeight="1" x14ac:dyDescent="0.2">
      <c r="A27" s="67" t="s">
        <v>87</v>
      </c>
      <c r="B27" s="68">
        <f>'Vrije kasstroom'!E10+'Vrije kasstroom'!E13</f>
        <v>0</v>
      </c>
      <c r="C27" s="68">
        <f>'Vrije kasstroom'!F10+'Vrije kasstroom'!F13</f>
        <v>0</v>
      </c>
      <c r="D27" s="68">
        <f>'Vrije kasstroom'!G10+'Vrije kasstroom'!G13</f>
        <v>0</v>
      </c>
      <c r="E27" s="68">
        <f>'Vrije kasstroom'!H10+'Vrije kasstroom'!H13</f>
        <v>0</v>
      </c>
      <c r="F27" s="68">
        <f>'Vrije kasstroom'!I10+'Vrije kasstroom'!I13</f>
        <v>0</v>
      </c>
      <c r="G27" s="68">
        <f>'Vrije kasstroom'!J10+'Vrije kasstroom'!J13</f>
        <v>0</v>
      </c>
      <c r="H27" s="69">
        <v>0</v>
      </c>
      <c r="I27" s="69">
        <v>0</v>
      </c>
      <c r="J27" s="69">
        <v>0</v>
      </c>
      <c r="K27" s="69">
        <v>0</v>
      </c>
      <c r="L27" s="40"/>
      <c r="M27" s="16"/>
      <c r="N27" s="16"/>
    </row>
    <row r="28" spans="1:14" ht="12" customHeight="1" x14ac:dyDescent="0.2">
      <c r="A28" s="38" t="s">
        <v>174</v>
      </c>
      <c r="B28" s="55" t="e">
        <f t="shared" ref="B28:K28" si="3">SUM(B24:B27)</f>
        <v>#VALUE!</v>
      </c>
      <c r="C28" s="55" t="e">
        <f t="shared" si="3"/>
        <v>#VALUE!</v>
      </c>
      <c r="D28" s="55" t="e">
        <f t="shared" si="3"/>
        <v>#VALUE!</v>
      </c>
      <c r="E28" s="55" t="e">
        <f t="shared" si="3"/>
        <v>#VALUE!</v>
      </c>
      <c r="F28" s="55" t="e">
        <f t="shared" si="3"/>
        <v>#VALUE!</v>
      </c>
      <c r="G28" s="55" t="e">
        <f t="shared" si="3"/>
        <v>#VALUE!</v>
      </c>
      <c r="H28" s="55" t="e">
        <f t="shared" si="3"/>
        <v>#VALUE!</v>
      </c>
      <c r="I28" s="55" t="e">
        <f t="shared" si="3"/>
        <v>#VALUE!</v>
      </c>
      <c r="J28" s="55" t="e">
        <f t="shared" si="3"/>
        <v>#VALUE!</v>
      </c>
      <c r="K28" s="55" t="e">
        <f t="shared" si="3"/>
        <v>#VALUE!</v>
      </c>
      <c r="L28" s="38"/>
    </row>
    <row r="29" spans="1:14" ht="12" customHeight="1" x14ac:dyDescent="0.2">
      <c r="A29" s="38"/>
      <c r="B29" s="59"/>
      <c r="C29" s="59"/>
      <c r="D29" s="59"/>
      <c r="E29" s="59"/>
      <c r="F29" s="59"/>
      <c r="G29" s="59"/>
      <c r="H29" s="59"/>
      <c r="I29" s="59"/>
      <c r="J29" s="59"/>
      <c r="K29" s="59"/>
      <c r="L29" s="38"/>
    </row>
    <row r="30" spans="1:14" ht="12" customHeight="1" x14ac:dyDescent="0.2">
      <c r="A30" s="38"/>
      <c r="B30" s="59"/>
      <c r="C30" s="59"/>
      <c r="D30" s="59"/>
      <c r="E30" s="59"/>
      <c r="F30" s="59"/>
      <c r="G30" s="59"/>
      <c r="H30" s="59"/>
      <c r="I30" s="59"/>
      <c r="J30" s="59"/>
      <c r="K30" s="59"/>
      <c r="L30" s="38"/>
    </row>
    <row r="31" spans="1:14" ht="12" customHeight="1" x14ac:dyDescent="0.2">
      <c r="A31" s="38" t="s">
        <v>77</v>
      </c>
      <c r="B31" s="55">
        <f>$B$7*$C$6</f>
        <v>0</v>
      </c>
      <c r="C31" s="55">
        <f>$B$7*($C$6-B32)</f>
        <v>0</v>
      </c>
      <c r="D31" s="55">
        <f>$B$7*($C$6-SUM($B$32:C32))</f>
        <v>0</v>
      </c>
      <c r="E31" s="55">
        <f>$B$7*($C$6-SUM($B$32:D32))</f>
        <v>0</v>
      </c>
      <c r="F31" s="55">
        <f>$B$7*($C$6-SUM($B$32:E32))</f>
        <v>0</v>
      </c>
      <c r="G31" s="55">
        <f>$B$7*($C$6-SUM($B$32:F32))</f>
        <v>0</v>
      </c>
      <c r="H31" s="55">
        <f>$B$7*($C$6-SUM($B$32:G32))</f>
        <v>0</v>
      </c>
      <c r="I31" s="55">
        <f>$B$7*($C$6-SUM($B$32:H32))</f>
        <v>0</v>
      </c>
      <c r="J31" s="55">
        <f>$B$7*($C$6-SUM($B$32:I32))</f>
        <v>0</v>
      </c>
      <c r="K31" s="55">
        <f>$B$7*($C$6-SUM($B$32:J32))</f>
        <v>0</v>
      </c>
      <c r="L31" s="38"/>
    </row>
    <row r="32" spans="1:14" ht="12" customHeight="1" x14ac:dyDescent="0.2">
      <c r="A32" s="38" t="s">
        <v>88</v>
      </c>
      <c r="B32" s="70">
        <v>0</v>
      </c>
      <c r="C32" s="70">
        <v>0</v>
      </c>
      <c r="D32" s="70">
        <v>0</v>
      </c>
      <c r="E32" s="70">
        <v>0</v>
      </c>
      <c r="F32" s="70">
        <v>0</v>
      </c>
      <c r="G32" s="70">
        <v>0</v>
      </c>
      <c r="H32" s="70">
        <v>0</v>
      </c>
      <c r="I32" s="70">
        <v>0</v>
      </c>
      <c r="J32" s="70">
        <v>0</v>
      </c>
      <c r="K32" s="70">
        <v>0</v>
      </c>
      <c r="L32" s="38"/>
    </row>
    <row r="33" spans="1:256" ht="12" customHeight="1" x14ac:dyDescent="0.2">
      <c r="A33" s="38" t="s">
        <v>89</v>
      </c>
      <c r="B33" s="55">
        <f>B9*C8</f>
        <v>0</v>
      </c>
      <c r="C33" s="55">
        <f t="shared" ref="C33:K33" si="4">B33</f>
        <v>0</v>
      </c>
      <c r="D33" s="55">
        <f t="shared" si="4"/>
        <v>0</v>
      </c>
      <c r="E33" s="55">
        <f t="shared" si="4"/>
        <v>0</v>
      </c>
      <c r="F33" s="55">
        <f t="shared" si="4"/>
        <v>0</v>
      </c>
      <c r="G33" s="55">
        <f t="shared" si="4"/>
        <v>0</v>
      </c>
      <c r="H33" s="55">
        <f t="shared" si="4"/>
        <v>0</v>
      </c>
      <c r="I33" s="55">
        <f t="shared" si="4"/>
        <v>0</v>
      </c>
      <c r="J33" s="55">
        <f t="shared" si="4"/>
        <v>0</v>
      </c>
      <c r="K33" s="55">
        <f t="shared" si="4"/>
        <v>0</v>
      </c>
      <c r="L33" s="38"/>
    </row>
    <row r="34" spans="1:256" ht="12" customHeight="1" x14ac:dyDescent="0.2">
      <c r="A34" s="38" t="s">
        <v>90</v>
      </c>
      <c r="B34" s="55">
        <f>C10</f>
        <v>0</v>
      </c>
      <c r="C34" s="55">
        <f>MAX(0,B34-B35)</f>
        <v>0</v>
      </c>
      <c r="D34" s="55">
        <f t="shared" ref="D34:K34" si="5">MAX(0,C34-C35)</f>
        <v>0</v>
      </c>
      <c r="E34" s="55">
        <f t="shared" si="5"/>
        <v>0</v>
      </c>
      <c r="F34" s="55">
        <f t="shared" si="5"/>
        <v>0</v>
      </c>
      <c r="G34" s="55">
        <f t="shared" si="5"/>
        <v>0</v>
      </c>
      <c r="H34" s="55">
        <f t="shared" si="5"/>
        <v>0</v>
      </c>
      <c r="I34" s="55">
        <f t="shared" si="5"/>
        <v>0</v>
      </c>
      <c r="J34" s="55">
        <f t="shared" si="5"/>
        <v>0</v>
      </c>
      <c r="K34" s="55">
        <f t="shared" si="5"/>
        <v>0</v>
      </c>
      <c r="L34" s="38"/>
    </row>
    <row r="35" spans="1:256" ht="12" customHeight="1" x14ac:dyDescent="0.2">
      <c r="A35" s="38" t="s">
        <v>91</v>
      </c>
      <c r="B35" s="55">
        <f>IF(B11=0,0,B34/B11)</f>
        <v>0</v>
      </c>
      <c r="C35" s="55">
        <f t="shared" ref="C35:K35" si="6">IF($B$11=0,0,MIN(C34,$B$34/$B$11))</f>
        <v>0</v>
      </c>
      <c r="D35" s="55">
        <f t="shared" si="6"/>
        <v>0</v>
      </c>
      <c r="E35" s="55">
        <f t="shared" si="6"/>
        <v>0</v>
      </c>
      <c r="F35" s="55">
        <f t="shared" si="6"/>
        <v>0</v>
      </c>
      <c r="G35" s="55">
        <f t="shared" si="6"/>
        <v>0</v>
      </c>
      <c r="H35" s="55">
        <f t="shared" si="6"/>
        <v>0</v>
      </c>
      <c r="I35" s="55">
        <f t="shared" si="6"/>
        <v>0</v>
      </c>
      <c r="J35" s="55">
        <f t="shared" si="6"/>
        <v>0</v>
      </c>
      <c r="K35" s="55">
        <f t="shared" si="6"/>
        <v>0</v>
      </c>
      <c r="L35" s="38"/>
    </row>
    <row r="36" spans="1:256" ht="12" customHeight="1" x14ac:dyDescent="0.2">
      <c r="A36" s="2" t="s">
        <v>92</v>
      </c>
      <c r="B36" s="55">
        <f t="shared" ref="B36:K36" si="7">B34*$B$12</f>
        <v>0</v>
      </c>
      <c r="C36" s="55">
        <f t="shared" si="7"/>
        <v>0</v>
      </c>
      <c r="D36" s="55">
        <f t="shared" si="7"/>
        <v>0</v>
      </c>
      <c r="E36" s="55">
        <f t="shared" si="7"/>
        <v>0</v>
      </c>
      <c r="F36" s="55">
        <f t="shared" si="7"/>
        <v>0</v>
      </c>
      <c r="G36" s="55">
        <f t="shared" si="7"/>
        <v>0</v>
      </c>
      <c r="H36" s="55">
        <f t="shared" si="7"/>
        <v>0</v>
      </c>
      <c r="I36" s="55">
        <f t="shared" si="7"/>
        <v>0</v>
      </c>
      <c r="J36" s="55">
        <f t="shared" si="7"/>
        <v>0</v>
      </c>
      <c r="K36" s="55">
        <f t="shared" si="7"/>
        <v>0</v>
      </c>
      <c r="L36" s="38"/>
    </row>
    <row r="37" spans="1:256" ht="12" customHeight="1" x14ac:dyDescent="0.2">
      <c r="A37" s="2" t="s">
        <v>93</v>
      </c>
      <c r="B37" s="55">
        <f>B31+B33+B36</f>
        <v>0</v>
      </c>
      <c r="C37" s="55">
        <f t="shared" ref="C37:K37" si="8">C31+C33+C36</f>
        <v>0</v>
      </c>
      <c r="D37" s="55">
        <f t="shared" si="8"/>
        <v>0</v>
      </c>
      <c r="E37" s="55">
        <f t="shared" si="8"/>
        <v>0</v>
      </c>
      <c r="F37" s="55">
        <f t="shared" si="8"/>
        <v>0</v>
      </c>
      <c r="G37" s="55">
        <f t="shared" si="8"/>
        <v>0</v>
      </c>
      <c r="H37" s="55">
        <f t="shared" si="8"/>
        <v>0</v>
      </c>
      <c r="I37" s="55">
        <f t="shared" si="8"/>
        <v>0</v>
      </c>
      <c r="J37" s="55">
        <f t="shared" si="8"/>
        <v>0</v>
      </c>
      <c r="K37" s="55">
        <f t="shared" si="8"/>
        <v>0</v>
      </c>
      <c r="L37" s="38"/>
    </row>
    <row r="38" spans="1:256" ht="12" customHeight="1" x14ac:dyDescent="0.2">
      <c r="A38" s="38" t="s">
        <v>71</v>
      </c>
      <c r="B38" s="55" t="e">
        <f>B37*'Invoer exploitatie'!E99</f>
        <v>#VALUE!</v>
      </c>
      <c r="C38" s="55" t="e">
        <f>C37*'Invoer exploitatie'!F99</f>
        <v>#VALUE!</v>
      </c>
      <c r="D38" s="55" t="e">
        <f>D37*'Invoer exploitatie'!G99</f>
        <v>#VALUE!</v>
      </c>
      <c r="E38" s="55" t="e">
        <f>E37*'Invoer exploitatie'!H99</f>
        <v>#VALUE!</v>
      </c>
      <c r="F38" s="55" t="e">
        <f>F37*'Invoer exploitatie'!I99</f>
        <v>#VALUE!</v>
      </c>
      <c r="G38" s="55" t="e">
        <f>G37*'Invoer exploitatie'!J99</f>
        <v>#VALUE!</v>
      </c>
      <c r="H38" s="55" t="e">
        <f>H37*'Invoer exploitatie'!$J$99</f>
        <v>#VALUE!</v>
      </c>
      <c r="I38" s="55" t="e">
        <f>I37*'Invoer exploitatie'!$J$99</f>
        <v>#VALUE!</v>
      </c>
      <c r="J38" s="55" t="e">
        <f>J37*'Invoer exploitatie'!$J$99</f>
        <v>#VALUE!</v>
      </c>
      <c r="K38" s="55" t="e">
        <f>K37*'Invoer exploitatie'!$J$99</f>
        <v>#VALUE!</v>
      </c>
      <c r="L38" s="55"/>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row>
    <row r="39" spans="1:256" ht="12" customHeight="1" x14ac:dyDescent="0.2">
      <c r="A39" s="38" t="s">
        <v>94</v>
      </c>
      <c r="B39" s="55" t="e">
        <f>B37-B38</f>
        <v>#VALUE!</v>
      </c>
      <c r="C39" s="55" t="e">
        <f t="shared" ref="C39:K39" si="9">C37-C38</f>
        <v>#VALUE!</v>
      </c>
      <c r="D39" s="55" t="e">
        <f t="shared" si="9"/>
        <v>#VALUE!</v>
      </c>
      <c r="E39" s="55" t="e">
        <f t="shared" si="9"/>
        <v>#VALUE!</v>
      </c>
      <c r="F39" s="55" t="e">
        <f t="shared" si="9"/>
        <v>#VALUE!</v>
      </c>
      <c r="G39" s="55" t="e">
        <f t="shared" si="9"/>
        <v>#VALUE!</v>
      </c>
      <c r="H39" s="55" t="e">
        <f t="shared" si="9"/>
        <v>#VALUE!</v>
      </c>
      <c r="I39" s="55" t="e">
        <f t="shared" si="9"/>
        <v>#VALUE!</v>
      </c>
      <c r="J39" s="55" t="e">
        <f t="shared" si="9"/>
        <v>#VALUE!</v>
      </c>
      <c r="K39" s="55" t="e">
        <f t="shared" si="9"/>
        <v>#VALUE!</v>
      </c>
      <c r="L39" s="38"/>
    </row>
    <row r="40" spans="1:256" ht="12" customHeight="1" x14ac:dyDescent="0.2">
      <c r="A40" s="2" t="s">
        <v>95</v>
      </c>
      <c r="B40" s="55">
        <f>B32+B35</f>
        <v>0</v>
      </c>
      <c r="C40" s="55">
        <f t="shared" ref="C40:K40" si="10">C32+C35</f>
        <v>0</v>
      </c>
      <c r="D40" s="55">
        <f t="shared" si="10"/>
        <v>0</v>
      </c>
      <c r="E40" s="55">
        <f t="shared" si="10"/>
        <v>0</v>
      </c>
      <c r="F40" s="55">
        <f t="shared" si="10"/>
        <v>0</v>
      </c>
      <c r="G40" s="55">
        <f t="shared" si="10"/>
        <v>0</v>
      </c>
      <c r="H40" s="55">
        <f t="shared" si="10"/>
        <v>0</v>
      </c>
      <c r="I40" s="55">
        <f t="shared" si="10"/>
        <v>0</v>
      </c>
      <c r="J40" s="55">
        <f t="shared" si="10"/>
        <v>0</v>
      </c>
      <c r="K40" s="55">
        <f t="shared" si="10"/>
        <v>0</v>
      </c>
      <c r="L40" s="38"/>
    </row>
    <row r="41" spans="1:256" ht="12" customHeight="1" x14ac:dyDescent="0.2">
      <c r="A41" s="2" t="s">
        <v>96</v>
      </c>
      <c r="B41" s="55" t="e">
        <f>+B40+B39</f>
        <v>#VALUE!</v>
      </c>
      <c r="C41" s="55" t="e">
        <f t="shared" ref="C41:K41" si="11">+C40+C39</f>
        <v>#VALUE!</v>
      </c>
      <c r="D41" s="55" t="e">
        <f t="shared" si="11"/>
        <v>#VALUE!</v>
      </c>
      <c r="E41" s="55" t="e">
        <f t="shared" si="11"/>
        <v>#VALUE!</v>
      </c>
      <c r="F41" s="55" t="e">
        <f t="shared" si="11"/>
        <v>#VALUE!</v>
      </c>
      <c r="G41" s="55" t="e">
        <f t="shared" si="11"/>
        <v>#VALUE!</v>
      </c>
      <c r="H41" s="55" t="e">
        <f t="shared" si="11"/>
        <v>#VALUE!</v>
      </c>
      <c r="I41" s="55" t="e">
        <f t="shared" si="11"/>
        <v>#VALUE!</v>
      </c>
      <c r="J41" s="55" t="e">
        <f t="shared" si="11"/>
        <v>#VALUE!</v>
      </c>
      <c r="K41" s="55" t="e">
        <f t="shared" si="11"/>
        <v>#VALUE!</v>
      </c>
      <c r="L41" s="38"/>
    </row>
    <row r="42" spans="1:256" s="23" customFormat="1" ht="12" customHeight="1" x14ac:dyDescent="0.2">
      <c r="A42" s="71" t="s">
        <v>175</v>
      </c>
      <c r="B42" s="72" t="e">
        <f t="shared" ref="B42:K42" si="12">+B28-B41</f>
        <v>#VALUE!</v>
      </c>
      <c r="C42" s="72" t="e">
        <f t="shared" si="12"/>
        <v>#VALUE!</v>
      </c>
      <c r="D42" s="72" t="e">
        <f t="shared" si="12"/>
        <v>#VALUE!</v>
      </c>
      <c r="E42" s="72" t="e">
        <f t="shared" si="12"/>
        <v>#VALUE!</v>
      </c>
      <c r="F42" s="72" t="e">
        <f t="shared" si="12"/>
        <v>#VALUE!</v>
      </c>
      <c r="G42" s="72" t="e">
        <f t="shared" si="12"/>
        <v>#VALUE!</v>
      </c>
      <c r="H42" s="72" t="e">
        <f t="shared" si="12"/>
        <v>#VALUE!</v>
      </c>
      <c r="I42" s="72" t="e">
        <f t="shared" si="12"/>
        <v>#VALUE!</v>
      </c>
      <c r="J42" s="72" t="e">
        <f t="shared" si="12"/>
        <v>#VALUE!</v>
      </c>
      <c r="K42" s="72" t="e">
        <f t="shared" si="12"/>
        <v>#VALUE!</v>
      </c>
      <c r="L42" s="71"/>
    </row>
    <row r="43" spans="1:256" ht="12" customHeight="1" x14ac:dyDescent="0.2">
      <c r="A43" s="2"/>
      <c r="B43" s="55"/>
      <c r="C43" s="55"/>
      <c r="D43" s="55"/>
      <c r="E43" s="55"/>
      <c r="F43" s="55"/>
      <c r="G43" s="55"/>
      <c r="H43" s="55"/>
      <c r="I43" s="55"/>
      <c r="J43" s="55"/>
      <c r="K43" s="55"/>
      <c r="L43" s="38"/>
    </row>
    <row r="44" spans="1:256" ht="12" customHeight="1" x14ac:dyDescent="0.2">
      <c r="A44" s="38" t="s">
        <v>97</v>
      </c>
      <c r="B44" s="70">
        <v>0</v>
      </c>
      <c r="C44" s="70">
        <v>0</v>
      </c>
      <c r="D44" s="70">
        <v>0</v>
      </c>
      <c r="E44" s="70">
        <v>0</v>
      </c>
      <c r="F44" s="70">
        <v>0</v>
      </c>
      <c r="G44" s="70">
        <v>0</v>
      </c>
      <c r="H44" s="70">
        <v>0</v>
      </c>
      <c r="I44" s="70">
        <v>0</v>
      </c>
      <c r="J44" s="70">
        <v>0</v>
      </c>
      <c r="K44" s="70">
        <v>0</v>
      </c>
      <c r="L44" s="38"/>
    </row>
    <row r="45" spans="1:256" ht="12" customHeight="1" x14ac:dyDescent="0.2">
      <c r="A45" s="2" t="s">
        <v>176</v>
      </c>
      <c r="B45" s="55" t="e">
        <f>B28-B32-B35-B39-B44</f>
        <v>#VALUE!</v>
      </c>
      <c r="C45" s="55" t="e">
        <f t="shared" ref="C45:K45" si="13">C28-C32-C35-C39-C44</f>
        <v>#VALUE!</v>
      </c>
      <c r="D45" s="55" t="e">
        <f t="shared" si="13"/>
        <v>#VALUE!</v>
      </c>
      <c r="E45" s="55" t="e">
        <f t="shared" si="13"/>
        <v>#VALUE!</v>
      </c>
      <c r="F45" s="55" t="e">
        <f t="shared" si="13"/>
        <v>#VALUE!</v>
      </c>
      <c r="G45" s="55" t="e">
        <f t="shared" si="13"/>
        <v>#VALUE!</v>
      </c>
      <c r="H45" s="55" t="e">
        <f t="shared" si="13"/>
        <v>#VALUE!</v>
      </c>
      <c r="I45" s="55" t="e">
        <f t="shared" si="13"/>
        <v>#VALUE!</v>
      </c>
      <c r="J45" s="55" t="e">
        <f t="shared" si="13"/>
        <v>#VALUE!</v>
      </c>
      <c r="K45" s="55" t="e">
        <f t="shared" si="13"/>
        <v>#VALUE!</v>
      </c>
      <c r="L45" s="38"/>
    </row>
    <row r="46" spans="1:256" ht="12" customHeight="1" x14ac:dyDescent="0.2">
      <c r="A46" s="2" t="s">
        <v>98</v>
      </c>
      <c r="B46" s="55">
        <f>C14-B47</f>
        <v>0</v>
      </c>
      <c r="C46" s="55">
        <f>MAX(0,B46-C47)</f>
        <v>0</v>
      </c>
      <c r="D46" s="55">
        <f t="shared" ref="D46:K46" si="14">MAX(0,C46-D47)</f>
        <v>0</v>
      </c>
      <c r="E46" s="55">
        <f t="shared" si="14"/>
        <v>0</v>
      </c>
      <c r="F46" s="55">
        <f t="shared" si="14"/>
        <v>0</v>
      </c>
      <c r="G46" s="55">
        <f t="shared" si="14"/>
        <v>0</v>
      </c>
      <c r="H46" s="55">
        <f t="shared" si="14"/>
        <v>0</v>
      </c>
      <c r="I46" s="55">
        <f t="shared" si="14"/>
        <v>0</v>
      </c>
      <c r="J46" s="55">
        <f t="shared" si="14"/>
        <v>0</v>
      </c>
      <c r="K46" s="55">
        <f t="shared" si="14"/>
        <v>0</v>
      </c>
      <c r="L46" s="38"/>
    </row>
    <row r="47" spans="1:256" ht="12" customHeight="1" x14ac:dyDescent="0.2">
      <c r="A47" s="2" t="s">
        <v>99</v>
      </c>
      <c r="B47" s="53">
        <v>0</v>
      </c>
      <c r="C47" s="53">
        <v>0</v>
      </c>
      <c r="D47" s="53">
        <v>0</v>
      </c>
      <c r="E47" s="53">
        <v>0</v>
      </c>
      <c r="F47" s="53">
        <v>0</v>
      </c>
      <c r="G47" s="53">
        <v>0</v>
      </c>
      <c r="H47" s="53">
        <v>0</v>
      </c>
      <c r="I47" s="53">
        <v>0</v>
      </c>
      <c r="J47" s="53">
        <v>0</v>
      </c>
      <c r="K47" s="53">
        <v>0</v>
      </c>
      <c r="L47" s="38"/>
    </row>
    <row r="48" spans="1:256" ht="12" customHeight="1" x14ac:dyDescent="0.2">
      <c r="A48" s="2" t="s">
        <v>85</v>
      </c>
      <c r="B48" s="55">
        <f>$B$15*C14</f>
        <v>0</v>
      </c>
      <c r="C48" s="55">
        <f>$B$15*B46</f>
        <v>0</v>
      </c>
      <c r="D48" s="55">
        <f t="shared" ref="D48:K48" si="15">$B$15*C46</f>
        <v>0</v>
      </c>
      <c r="E48" s="55">
        <f t="shared" si="15"/>
        <v>0</v>
      </c>
      <c r="F48" s="55">
        <f t="shared" si="15"/>
        <v>0</v>
      </c>
      <c r="G48" s="55">
        <f t="shared" si="15"/>
        <v>0</v>
      </c>
      <c r="H48" s="55">
        <f t="shared" si="15"/>
        <v>0</v>
      </c>
      <c r="I48" s="55">
        <f t="shared" si="15"/>
        <v>0</v>
      </c>
      <c r="J48" s="55">
        <f t="shared" si="15"/>
        <v>0</v>
      </c>
      <c r="K48" s="55">
        <f t="shared" si="15"/>
        <v>0</v>
      </c>
      <c r="L48" s="55"/>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row>
    <row r="49" spans="1:256" ht="12" customHeight="1" x14ac:dyDescent="0.2">
      <c r="A49" s="2" t="s">
        <v>100</v>
      </c>
      <c r="B49" s="55" t="e">
        <f>+B48*'Invoer exploitatie'!E99</f>
        <v>#VALUE!</v>
      </c>
      <c r="C49" s="55" t="e">
        <f>+C48*'Invoer exploitatie'!F99</f>
        <v>#VALUE!</v>
      </c>
      <c r="D49" s="55" t="e">
        <f>+D48*'Invoer exploitatie'!G99</f>
        <v>#VALUE!</v>
      </c>
      <c r="E49" s="55" t="e">
        <f>+E48*'Invoer exploitatie'!H99</f>
        <v>#VALUE!</v>
      </c>
      <c r="F49" s="55" t="e">
        <f>+F48*'Invoer exploitatie'!I99</f>
        <v>#VALUE!</v>
      </c>
      <c r="G49" s="55" t="e">
        <f>+G48*'Invoer exploitatie'!J99</f>
        <v>#VALUE!</v>
      </c>
      <c r="H49" s="55" t="e">
        <f>+H48*'Invoer exploitatie'!$J$99</f>
        <v>#VALUE!</v>
      </c>
      <c r="I49" s="55" t="e">
        <f>+I48*'Invoer exploitatie'!$J$99</f>
        <v>#VALUE!</v>
      </c>
      <c r="J49" s="55" t="e">
        <f>+J48*'Invoer exploitatie'!$J$99</f>
        <v>#VALUE!</v>
      </c>
      <c r="K49" s="55" t="e">
        <f>+K48*'Invoer exploitatie'!$J$99</f>
        <v>#VALUE!</v>
      </c>
      <c r="L49" s="55"/>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row>
    <row r="50" spans="1:256" s="23" customFormat="1" ht="12" customHeight="1" x14ac:dyDescent="0.2">
      <c r="A50" s="71" t="s">
        <v>177</v>
      </c>
      <c r="B50" s="72" t="e">
        <f>B45-B47-B48+B49</f>
        <v>#VALUE!</v>
      </c>
      <c r="C50" s="72" t="e">
        <f t="shared" ref="C50:K50" si="16">C45-C47-C48+C49</f>
        <v>#VALUE!</v>
      </c>
      <c r="D50" s="72" t="e">
        <f t="shared" si="16"/>
        <v>#VALUE!</v>
      </c>
      <c r="E50" s="72" t="e">
        <f t="shared" si="16"/>
        <v>#VALUE!</v>
      </c>
      <c r="F50" s="72" t="e">
        <f t="shared" si="16"/>
        <v>#VALUE!</v>
      </c>
      <c r="G50" s="72" t="e">
        <f t="shared" si="16"/>
        <v>#VALUE!</v>
      </c>
      <c r="H50" s="72" t="e">
        <f t="shared" si="16"/>
        <v>#VALUE!</v>
      </c>
      <c r="I50" s="72" t="e">
        <f t="shared" si="16"/>
        <v>#VALUE!</v>
      </c>
      <c r="J50" s="72" t="e">
        <f t="shared" si="16"/>
        <v>#VALUE!</v>
      </c>
      <c r="K50" s="72" t="e">
        <f t="shared" si="16"/>
        <v>#VALUE!</v>
      </c>
      <c r="L50" s="71"/>
    </row>
    <row r="51" spans="1:256" ht="12" customHeight="1" x14ac:dyDescent="0.2">
      <c r="A51" s="38"/>
      <c r="B51" s="59"/>
      <c r="C51" s="59"/>
      <c r="D51" s="59"/>
      <c r="E51" s="59"/>
      <c r="F51" s="59"/>
      <c r="G51" s="59"/>
      <c r="H51" s="59"/>
      <c r="I51" s="59"/>
      <c r="J51" s="59"/>
      <c r="K51" s="59"/>
      <c r="L51" s="38"/>
    </row>
    <row r="52" spans="1:256" ht="12" customHeight="1" x14ac:dyDescent="0.2">
      <c r="A52" s="38" t="s">
        <v>101</v>
      </c>
      <c r="B52" s="55" t="e">
        <f>B50+B40+B47</f>
        <v>#VALUE!</v>
      </c>
      <c r="C52" s="55" t="e">
        <f>B52+C50+C40+C47</f>
        <v>#VALUE!</v>
      </c>
      <c r="D52" s="55" t="e">
        <f t="shared" ref="D52:K52" si="17">C52+D50+D40+D47</f>
        <v>#VALUE!</v>
      </c>
      <c r="E52" s="55" t="e">
        <f t="shared" si="17"/>
        <v>#VALUE!</v>
      </c>
      <c r="F52" s="55" t="e">
        <f t="shared" si="17"/>
        <v>#VALUE!</v>
      </c>
      <c r="G52" s="55" t="e">
        <f t="shared" si="17"/>
        <v>#VALUE!</v>
      </c>
      <c r="H52" s="55" t="e">
        <f t="shared" si="17"/>
        <v>#VALUE!</v>
      </c>
      <c r="I52" s="55" t="e">
        <f t="shared" si="17"/>
        <v>#VALUE!</v>
      </c>
      <c r="J52" s="55" t="e">
        <f t="shared" si="17"/>
        <v>#VALUE!</v>
      </c>
      <c r="K52" s="55" t="e">
        <f t="shared" si="17"/>
        <v>#VALUE!</v>
      </c>
      <c r="L52" s="38"/>
    </row>
    <row r="53" spans="1:256" ht="12" customHeight="1" x14ac:dyDescent="0.2">
      <c r="A53" s="38" t="s">
        <v>102</v>
      </c>
      <c r="B53" s="73" t="e">
        <f>IF(B52&gt;$C$3,"x"," ")</f>
        <v>#VALUE!</v>
      </c>
      <c r="C53" s="73" t="e">
        <f t="shared" ref="C53:K53" si="18">IF(C52&gt;$C$3,"x"," ")</f>
        <v>#VALUE!</v>
      </c>
      <c r="D53" s="73" t="e">
        <f t="shared" si="18"/>
        <v>#VALUE!</v>
      </c>
      <c r="E53" s="73" t="e">
        <f t="shared" si="18"/>
        <v>#VALUE!</v>
      </c>
      <c r="F53" s="73" t="e">
        <f t="shared" si="18"/>
        <v>#VALUE!</v>
      </c>
      <c r="G53" s="73" t="e">
        <f t="shared" si="18"/>
        <v>#VALUE!</v>
      </c>
      <c r="H53" s="73" t="e">
        <f t="shared" si="18"/>
        <v>#VALUE!</v>
      </c>
      <c r="I53" s="73" t="e">
        <f t="shared" si="18"/>
        <v>#VALUE!</v>
      </c>
      <c r="J53" s="73" t="e">
        <f t="shared" si="18"/>
        <v>#VALUE!</v>
      </c>
      <c r="K53" s="73" t="e">
        <f t="shared" si="18"/>
        <v>#VALUE!</v>
      </c>
      <c r="L53" s="38"/>
    </row>
    <row r="54" spans="1:256" ht="12" customHeight="1" x14ac:dyDescent="0.2">
      <c r="A54" s="38"/>
      <c r="B54" s="73"/>
      <c r="C54" s="73"/>
      <c r="D54" s="73"/>
      <c r="E54" s="73"/>
      <c r="F54" s="73"/>
      <c r="G54" s="73"/>
      <c r="H54" s="73"/>
      <c r="I54" s="73"/>
      <c r="J54" s="73"/>
      <c r="K54" s="73"/>
      <c r="L54" s="38"/>
    </row>
    <row r="55" spans="1:256" ht="12" customHeight="1" x14ac:dyDescent="0.2">
      <c r="A55" s="61" t="s">
        <v>103</v>
      </c>
      <c r="B55" s="73"/>
      <c r="C55" s="73"/>
      <c r="D55" s="73"/>
      <c r="E55" s="73"/>
      <c r="F55" s="73"/>
      <c r="G55" s="73"/>
      <c r="H55" s="73"/>
      <c r="I55" s="73"/>
      <c r="J55" s="73"/>
      <c r="K55" s="73"/>
      <c r="L55" s="38"/>
    </row>
    <row r="56" spans="1:256" ht="12" customHeight="1" x14ac:dyDescent="0.2">
      <c r="A56" s="38" t="s">
        <v>104</v>
      </c>
      <c r="B56" s="74">
        <f>+B48+B37</f>
        <v>0</v>
      </c>
      <c r="C56" s="74">
        <f t="shared" ref="C56:K56" si="19">+C48+C37</f>
        <v>0</v>
      </c>
      <c r="D56" s="74">
        <f t="shared" si="19"/>
        <v>0</v>
      </c>
      <c r="E56" s="74">
        <f t="shared" si="19"/>
        <v>0</v>
      </c>
      <c r="F56" s="74">
        <f t="shared" si="19"/>
        <v>0</v>
      </c>
      <c r="G56" s="74">
        <f t="shared" si="19"/>
        <v>0</v>
      </c>
      <c r="H56" s="74">
        <f t="shared" si="19"/>
        <v>0</v>
      </c>
      <c r="I56" s="74">
        <f t="shared" si="19"/>
        <v>0</v>
      </c>
      <c r="J56" s="74">
        <f t="shared" si="19"/>
        <v>0</v>
      </c>
      <c r="K56" s="74">
        <f t="shared" si="19"/>
        <v>0</v>
      </c>
      <c r="L56" s="38"/>
    </row>
    <row r="57" spans="1:256" ht="12" customHeight="1" x14ac:dyDescent="0.2">
      <c r="A57" s="38" t="s">
        <v>71</v>
      </c>
      <c r="B57" s="74" t="e">
        <f>'Invoer exploitatie'!E99*B56</f>
        <v>#VALUE!</v>
      </c>
      <c r="C57" s="74" t="e">
        <f>'Invoer exploitatie'!F99*C56</f>
        <v>#VALUE!</v>
      </c>
      <c r="D57" s="74" t="e">
        <f>'Invoer exploitatie'!G99*D56</f>
        <v>#VALUE!</v>
      </c>
      <c r="E57" s="74" t="e">
        <f>'Invoer exploitatie'!H99*E56</f>
        <v>#VALUE!</v>
      </c>
      <c r="F57" s="74" t="e">
        <f>'Invoer exploitatie'!I99*F56</f>
        <v>#VALUE!</v>
      </c>
      <c r="G57" s="74" t="e">
        <f>'Invoer exploitatie'!J99*G56</f>
        <v>#VALUE!</v>
      </c>
      <c r="H57" s="74" t="e">
        <f>'Invoer exploitatie'!$J$99*H56</f>
        <v>#VALUE!</v>
      </c>
      <c r="I57" s="74" t="e">
        <f>'Invoer exploitatie'!$J$99*I56</f>
        <v>#VALUE!</v>
      </c>
      <c r="J57" s="74" t="e">
        <f>'Invoer exploitatie'!$J$99*J56</f>
        <v>#VALUE!</v>
      </c>
      <c r="K57" s="74" t="e">
        <f>'Invoer exploitatie'!$J$99*K56</f>
        <v>#VALUE!</v>
      </c>
      <c r="L57" s="38"/>
    </row>
    <row r="58" spans="1:256" ht="12" customHeight="1" x14ac:dyDescent="0.2">
      <c r="A58" s="2" t="s">
        <v>105</v>
      </c>
      <c r="B58" s="75" t="e">
        <f>+B56-B57</f>
        <v>#VALUE!</v>
      </c>
      <c r="C58" s="75" t="e">
        <f t="shared" ref="C58:K58" si="20">+C56-C57</f>
        <v>#VALUE!</v>
      </c>
      <c r="D58" s="75" t="e">
        <f t="shared" si="20"/>
        <v>#VALUE!</v>
      </c>
      <c r="E58" s="75" t="e">
        <f t="shared" si="20"/>
        <v>#VALUE!</v>
      </c>
      <c r="F58" s="75" t="e">
        <f t="shared" si="20"/>
        <v>#VALUE!</v>
      </c>
      <c r="G58" s="75" t="e">
        <f t="shared" si="20"/>
        <v>#VALUE!</v>
      </c>
      <c r="H58" s="75" t="e">
        <f t="shared" si="20"/>
        <v>#VALUE!</v>
      </c>
      <c r="I58" s="75" t="e">
        <f t="shared" si="20"/>
        <v>#VALUE!</v>
      </c>
      <c r="J58" s="75" t="e">
        <f t="shared" si="20"/>
        <v>#VALUE!</v>
      </c>
      <c r="K58" s="75" t="e">
        <f t="shared" si="20"/>
        <v>#VALUE!</v>
      </c>
      <c r="L58" s="38"/>
    </row>
    <row r="59" spans="1:256" ht="12" customHeight="1" x14ac:dyDescent="0.2">
      <c r="A59" s="38"/>
      <c r="B59" s="73"/>
      <c r="C59" s="73"/>
      <c r="D59" s="73"/>
      <c r="E59" s="73"/>
      <c r="F59" s="73"/>
      <c r="G59" s="73"/>
      <c r="H59" s="73"/>
      <c r="I59" s="73"/>
      <c r="J59" s="73"/>
      <c r="K59" s="73"/>
      <c r="L59" s="38"/>
    </row>
    <row r="60" spans="1:256" ht="12" customHeight="1" x14ac:dyDescent="0.2">
      <c r="A60" s="38"/>
      <c r="B60" s="59"/>
      <c r="C60" s="59"/>
      <c r="D60" s="59"/>
      <c r="E60" s="59"/>
      <c r="F60" s="59"/>
      <c r="G60" s="59"/>
      <c r="H60" s="59"/>
      <c r="I60" s="59"/>
      <c r="J60" s="59"/>
      <c r="K60" s="59"/>
      <c r="L60" s="38"/>
    </row>
    <row r="61" spans="1:256" ht="12" customHeight="1" x14ac:dyDescent="0.2">
      <c r="A61" s="3" t="s">
        <v>228</v>
      </c>
      <c r="B61" s="63"/>
      <c r="C61" s="63"/>
      <c r="D61" s="63"/>
      <c r="E61" s="63"/>
      <c r="F61" s="63"/>
      <c r="G61" s="63"/>
      <c r="H61" s="63"/>
      <c r="I61" s="63"/>
      <c r="J61" s="63"/>
      <c r="K61" s="63"/>
      <c r="L61" s="38"/>
    </row>
    <row r="62" spans="1:256" ht="12" customHeight="1" x14ac:dyDescent="0.2">
      <c r="A62" s="38"/>
      <c r="B62" s="59"/>
      <c r="C62" s="59"/>
      <c r="D62" s="59"/>
      <c r="E62" s="59"/>
      <c r="F62" s="59"/>
      <c r="G62" s="59"/>
      <c r="H62" s="59"/>
      <c r="I62" s="59"/>
      <c r="J62" s="59"/>
      <c r="K62" s="59"/>
      <c r="L62" s="38"/>
    </row>
    <row r="63" spans="1:256" ht="12" customHeight="1" x14ac:dyDescent="0.2">
      <c r="A63" s="2" t="s">
        <v>227</v>
      </c>
      <c r="B63" s="76" t="e">
        <f>(C6+C8+C10)/(B24-B22)</f>
        <v>#DIV/0!</v>
      </c>
      <c r="C63" s="76" t="e">
        <f t="shared" ref="C63:K63" si="21">($C$8+C34+$C$6)/(C24-C22)</f>
        <v>#DIV/0!</v>
      </c>
      <c r="D63" s="76" t="e">
        <f t="shared" si="21"/>
        <v>#DIV/0!</v>
      </c>
      <c r="E63" s="76" t="e">
        <f t="shared" si="21"/>
        <v>#DIV/0!</v>
      </c>
      <c r="F63" s="76" t="e">
        <f t="shared" si="21"/>
        <v>#DIV/0!</v>
      </c>
      <c r="G63" s="76" t="e">
        <f t="shared" si="21"/>
        <v>#DIV/0!</v>
      </c>
      <c r="H63" s="76" t="e">
        <f t="shared" si="21"/>
        <v>#DIV/0!</v>
      </c>
      <c r="I63" s="76" t="e">
        <f t="shared" si="21"/>
        <v>#DIV/0!</v>
      </c>
      <c r="J63" s="76" t="e">
        <f t="shared" si="21"/>
        <v>#DIV/0!</v>
      </c>
      <c r="K63" s="76" t="e">
        <f t="shared" si="21"/>
        <v>#DIV/0!</v>
      </c>
      <c r="L63" s="38"/>
    </row>
    <row r="64" spans="1:256" ht="12" customHeight="1" x14ac:dyDescent="0.2">
      <c r="A64" s="38" t="s">
        <v>106</v>
      </c>
      <c r="B64" s="55">
        <f>C6+C8+C10</f>
        <v>0</v>
      </c>
      <c r="C64" s="55">
        <f>B64-C40</f>
        <v>0</v>
      </c>
      <c r="D64" s="55">
        <f t="shared" ref="D64:K64" si="22">C64-D40</f>
        <v>0</v>
      </c>
      <c r="E64" s="55">
        <f t="shared" si="22"/>
        <v>0</v>
      </c>
      <c r="F64" s="55">
        <f t="shared" si="22"/>
        <v>0</v>
      </c>
      <c r="G64" s="55">
        <f t="shared" si="22"/>
        <v>0</v>
      </c>
      <c r="H64" s="55">
        <f t="shared" si="22"/>
        <v>0</v>
      </c>
      <c r="I64" s="55">
        <f t="shared" si="22"/>
        <v>0</v>
      </c>
      <c r="J64" s="55">
        <f t="shared" si="22"/>
        <v>0</v>
      </c>
      <c r="K64" s="55">
        <f t="shared" si="22"/>
        <v>0</v>
      </c>
      <c r="L64" s="38"/>
    </row>
    <row r="65" spans="1:12" ht="12" customHeight="1" x14ac:dyDescent="0.2">
      <c r="A65" s="38" t="s">
        <v>107</v>
      </c>
      <c r="B65" s="55" t="e">
        <f t="shared" ref="B65:K65" si="23">B28-B22-B27</f>
        <v>#VALUE!</v>
      </c>
      <c r="C65" s="55" t="e">
        <f t="shared" si="23"/>
        <v>#VALUE!</v>
      </c>
      <c r="D65" s="55" t="e">
        <f t="shared" si="23"/>
        <v>#VALUE!</v>
      </c>
      <c r="E65" s="55" t="e">
        <f t="shared" si="23"/>
        <v>#VALUE!</v>
      </c>
      <c r="F65" s="55" t="e">
        <f t="shared" si="23"/>
        <v>#VALUE!</v>
      </c>
      <c r="G65" s="55" t="e">
        <f t="shared" si="23"/>
        <v>#VALUE!</v>
      </c>
      <c r="H65" s="55" t="e">
        <f t="shared" si="23"/>
        <v>#VALUE!</v>
      </c>
      <c r="I65" s="55" t="e">
        <f t="shared" si="23"/>
        <v>#VALUE!</v>
      </c>
      <c r="J65" s="55" t="e">
        <f t="shared" si="23"/>
        <v>#VALUE!</v>
      </c>
      <c r="K65" s="55" t="e">
        <f t="shared" si="23"/>
        <v>#VALUE!</v>
      </c>
      <c r="L65" s="38"/>
    </row>
    <row r="66" spans="1:12" ht="12" customHeight="1" x14ac:dyDescent="0.2">
      <c r="A66" s="38"/>
      <c r="B66" s="59"/>
      <c r="C66" s="59"/>
      <c r="D66" s="59"/>
      <c r="E66" s="59"/>
      <c r="F66" s="59"/>
      <c r="G66" s="59"/>
      <c r="H66" s="59"/>
      <c r="I66" s="59"/>
      <c r="J66" s="59"/>
      <c r="K66" s="59"/>
      <c r="L66" s="38"/>
    </row>
    <row r="67" spans="1:12" ht="12" customHeight="1" x14ac:dyDescent="0.2">
      <c r="A67" s="2" t="s">
        <v>226</v>
      </c>
      <c r="B67" s="76">
        <f>IF(B37=0,0,B28/B37)</f>
        <v>0</v>
      </c>
      <c r="C67" s="76">
        <f t="shared" ref="C67:K67" si="24">IF(C37=0,0,C28/C37)</f>
        <v>0</v>
      </c>
      <c r="D67" s="76">
        <f t="shared" si="24"/>
        <v>0</v>
      </c>
      <c r="E67" s="76">
        <f t="shared" si="24"/>
        <v>0</v>
      </c>
      <c r="F67" s="76">
        <f t="shared" si="24"/>
        <v>0</v>
      </c>
      <c r="G67" s="76">
        <f t="shared" si="24"/>
        <v>0</v>
      </c>
      <c r="H67" s="76">
        <f t="shared" si="24"/>
        <v>0</v>
      </c>
      <c r="I67" s="76">
        <f t="shared" si="24"/>
        <v>0</v>
      </c>
      <c r="J67" s="76">
        <f t="shared" si="24"/>
        <v>0</v>
      </c>
      <c r="K67" s="76">
        <f t="shared" si="24"/>
        <v>0</v>
      </c>
      <c r="L67" s="38"/>
    </row>
    <row r="68" spans="1:12" ht="12" customHeight="1" x14ac:dyDescent="0.2">
      <c r="A68" s="38" t="s">
        <v>108</v>
      </c>
      <c r="B68" s="55" t="e">
        <f>B28</f>
        <v>#VALUE!</v>
      </c>
      <c r="C68" s="55" t="e">
        <f t="shared" ref="C68:K68" si="25">C28</f>
        <v>#VALUE!</v>
      </c>
      <c r="D68" s="55" t="e">
        <f t="shared" si="25"/>
        <v>#VALUE!</v>
      </c>
      <c r="E68" s="55" t="e">
        <f t="shared" si="25"/>
        <v>#VALUE!</v>
      </c>
      <c r="F68" s="55" t="e">
        <f t="shared" si="25"/>
        <v>#VALUE!</v>
      </c>
      <c r="G68" s="55" t="e">
        <f t="shared" si="25"/>
        <v>#VALUE!</v>
      </c>
      <c r="H68" s="55" t="e">
        <f t="shared" si="25"/>
        <v>#VALUE!</v>
      </c>
      <c r="I68" s="55" t="e">
        <f t="shared" si="25"/>
        <v>#VALUE!</v>
      </c>
      <c r="J68" s="55" t="e">
        <f t="shared" si="25"/>
        <v>#VALUE!</v>
      </c>
      <c r="K68" s="55" t="e">
        <f t="shared" si="25"/>
        <v>#VALUE!</v>
      </c>
      <c r="L68" s="38"/>
    </row>
    <row r="69" spans="1:12" ht="12" customHeight="1" x14ac:dyDescent="0.2">
      <c r="A69" s="38" t="s">
        <v>70</v>
      </c>
      <c r="B69" s="55">
        <f>B37</f>
        <v>0</v>
      </c>
      <c r="C69" s="55">
        <f t="shared" ref="C69:K69" si="26">C37</f>
        <v>0</v>
      </c>
      <c r="D69" s="55">
        <f t="shared" si="26"/>
        <v>0</v>
      </c>
      <c r="E69" s="55">
        <f t="shared" si="26"/>
        <v>0</v>
      </c>
      <c r="F69" s="55">
        <f t="shared" si="26"/>
        <v>0</v>
      </c>
      <c r="G69" s="55">
        <f t="shared" si="26"/>
        <v>0</v>
      </c>
      <c r="H69" s="55">
        <f t="shared" si="26"/>
        <v>0</v>
      </c>
      <c r="I69" s="55">
        <f t="shared" si="26"/>
        <v>0</v>
      </c>
      <c r="J69" s="55">
        <f t="shared" si="26"/>
        <v>0</v>
      </c>
      <c r="K69" s="55">
        <f t="shared" si="26"/>
        <v>0</v>
      </c>
      <c r="L69" s="38"/>
    </row>
    <row r="70" spans="1:12" ht="12" customHeight="1" x14ac:dyDescent="0.2">
      <c r="A70" s="38"/>
      <c r="B70" s="59"/>
      <c r="C70" s="59"/>
      <c r="D70" s="59"/>
      <c r="E70" s="59"/>
      <c r="F70" s="59"/>
      <c r="G70" s="59"/>
      <c r="H70" s="59"/>
      <c r="I70" s="59"/>
      <c r="J70" s="59"/>
      <c r="K70" s="59"/>
      <c r="L70" s="38"/>
    </row>
    <row r="71" spans="1:12" ht="12" customHeight="1" x14ac:dyDescent="0.2">
      <c r="A71" s="2" t="s">
        <v>109</v>
      </c>
      <c r="B71" s="76" t="e">
        <f>IF(B39=0,0,B28/(B32+B35+B37))</f>
        <v>#VALUE!</v>
      </c>
      <c r="C71" s="76" t="e">
        <f>IF(C39=0,0,C28/(C32+C35+C37))</f>
        <v>#VALUE!</v>
      </c>
      <c r="D71" s="76" t="e">
        <f t="shared" ref="D71:K71" si="27">IF(D39=0,0,D28/(D32+D35+D37))</f>
        <v>#VALUE!</v>
      </c>
      <c r="E71" s="76" t="e">
        <f t="shared" si="27"/>
        <v>#VALUE!</v>
      </c>
      <c r="F71" s="76" t="e">
        <f t="shared" si="27"/>
        <v>#VALUE!</v>
      </c>
      <c r="G71" s="76" t="e">
        <f t="shared" si="27"/>
        <v>#VALUE!</v>
      </c>
      <c r="H71" s="76" t="e">
        <f t="shared" si="27"/>
        <v>#VALUE!</v>
      </c>
      <c r="I71" s="76" t="e">
        <f t="shared" si="27"/>
        <v>#VALUE!</v>
      </c>
      <c r="J71" s="76" t="e">
        <f t="shared" si="27"/>
        <v>#VALUE!</v>
      </c>
      <c r="K71" s="76" t="e">
        <f t="shared" si="27"/>
        <v>#VALUE!</v>
      </c>
      <c r="L71" s="38"/>
    </row>
    <row r="72" spans="1:12" ht="12" customHeight="1" x14ac:dyDescent="0.2">
      <c r="A72" s="38" t="s">
        <v>178</v>
      </c>
      <c r="B72" s="55" t="e">
        <f>B28</f>
        <v>#VALUE!</v>
      </c>
      <c r="C72" s="55" t="e">
        <f t="shared" ref="C72:K72" si="28">C28</f>
        <v>#VALUE!</v>
      </c>
      <c r="D72" s="55" t="e">
        <f t="shared" si="28"/>
        <v>#VALUE!</v>
      </c>
      <c r="E72" s="55" t="e">
        <f t="shared" si="28"/>
        <v>#VALUE!</v>
      </c>
      <c r="F72" s="55" t="e">
        <f t="shared" si="28"/>
        <v>#VALUE!</v>
      </c>
      <c r="G72" s="55" t="e">
        <f t="shared" si="28"/>
        <v>#VALUE!</v>
      </c>
      <c r="H72" s="55" t="e">
        <f t="shared" si="28"/>
        <v>#VALUE!</v>
      </c>
      <c r="I72" s="55" t="e">
        <f t="shared" si="28"/>
        <v>#VALUE!</v>
      </c>
      <c r="J72" s="55" t="e">
        <f t="shared" si="28"/>
        <v>#VALUE!</v>
      </c>
      <c r="K72" s="55" t="e">
        <f t="shared" si="28"/>
        <v>#VALUE!</v>
      </c>
      <c r="L72" s="38"/>
    </row>
    <row r="73" spans="1:12" ht="12" customHeight="1" x14ac:dyDescent="0.2">
      <c r="A73" s="38" t="s">
        <v>110</v>
      </c>
      <c r="B73" s="55">
        <f>B37+B40</f>
        <v>0</v>
      </c>
      <c r="C73" s="55">
        <f t="shared" ref="C73:K73" si="29">C37+C40</f>
        <v>0</v>
      </c>
      <c r="D73" s="55">
        <f t="shared" si="29"/>
        <v>0</v>
      </c>
      <c r="E73" s="55">
        <f t="shared" si="29"/>
        <v>0</v>
      </c>
      <c r="F73" s="55">
        <f t="shared" si="29"/>
        <v>0</v>
      </c>
      <c r="G73" s="55">
        <f t="shared" si="29"/>
        <v>0</v>
      </c>
      <c r="H73" s="55">
        <f t="shared" si="29"/>
        <v>0</v>
      </c>
      <c r="I73" s="55">
        <f t="shared" si="29"/>
        <v>0</v>
      </c>
      <c r="J73" s="55">
        <f t="shared" si="29"/>
        <v>0</v>
      </c>
      <c r="K73" s="55">
        <f t="shared" si="29"/>
        <v>0</v>
      </c>
      <c r="L73" s="38"/>
    </row>
    <row r="74" spans="1:12" ht="12" customHeight="1" x14ac:dyDescent="0.2">
      <c r="A74" s="38"/>
      <c r="B74" s="38"/>
      <c r="C74" s="38"/>
      <c r="D74" s="38"/>
      <c r="E74" s="38"/>
      <c r="F74" s="38"/>
      <c r="G74" s="38"/>
      <c r="H74" s="38"/>
      <c r="I74" s="38"/>
      <c r="J74" s="38"/>
      <c r="K74" s="38"/>
      <c r="L74" s="38"/>
    </row>
    <row r="75" spans="1:12" ht="12" customHeight="1" x14ac:dyDescent="0.2">
      <c r="A75" s="38"/>
      <c r="B75" s="38"/>
      <c r="C75" s="38"/>
      <c r="D75" s="38"/>
      <c r="E75" s="38"/>
      <c r="F75" s="38"/>
      <c r="G75" s="38"/>
      <c r="H75" s="38"/>
      <c r="I75" s="38"/>
      <c r="J75" s="38"/>
      <c r="K75" s="38"/>
      <c r="L75" s="38"/>
    </row>
    <row r="76" spans="1:12" ht="12" customHeight="1" x14ac:dyDescent="0.2">
      <c r="A76" s="38"/>
      <c r="B76" s="38"/>
      <c r="C76" s="38"/>
      <c r="D76" s="38"/>
      <c r="E76" s="38"/>
      <c r="F76" s="38"/>
      <c r="G76" s="38"/>
      <c r="H76" s="38"/>
      <c r="I76" s="38"/>
      <c r="J76" s="38"/>
      <c r="K76" s="38"/>
      <c r="L76" s="38"/>
    </row>
    <row r="77" spans="1:12" ht="12" customHeight="1" x14ac:dyDescent="0.2">
      <c r="A77" s="38"/>
      <c r="B77" s="38"/>
      <c r="C77" s="38"/>
      <c r="D77" s="38"/>
      <c r="E77" s="38"/>
      <c r="F77" s="38"/>
      <c r="G77" s="38"/>
      <c r="H77" s="38"/>
      <c r="I77" s="38"/>
      <c r="J77" s="38"/>
      <c r="K77" s="38"/>
      <c r="L77" s="38"/>
    </row>
    <row r="78" spans="1:12" ht="12" customHeight="1" x14ac:dyDescent="0.2">
      <c r="A78" s="38"/>
      <c r="B78" s="38"/>
      <c r="C78" s="38"/>
      <c r="D78" s="38"/>
      <c r="E78" s="38"/>
      <c r="F78" s="38"/>
      <c r="G78" s="38"/>
      <c r="H78" s="38"/>
      <c r="I78" s="38"/>
      <c r="J78" s="38"/>
      <c r="K78" s="38"/>
      <c r="L78" s="38"/>
    </row>
    <row r="79" spans="1:12" ht="12" customHeight="1" x14ac:dyDescent="0.2">
      <c r="A79" s="38"/>
      <c r="B79" s="38"/>
      <c r="C79" s="38"/>
      <c r="D79" s="38"/>
      <c r="E79" s="38"/>
      <c r="F79" s="38"/>
      <c r="G79" s="38"/>
      <c r="H79" s="38"/>
      <c r="I79" s="38"/>
      <c r="J79" s="38"/>
      <c r="K79" s="38"/>
      <c r="L79" s="38"/>
    </row>
    <row r="80" spans="1:12" ht="12" customHeight="1" x14ac:dyDescent="0.2">
      <c r="A80" s="38"/>
      <c r="B80" s="38"/>
      <c r="C80" s="38"/>
      <c r="D80" s="38"/>
      <c r="E80" s="38"/>
      <c r="F80" s="38"/>
      <c r="G80" s="38"/>
      <c r="H80" s="38"/>
      <c r="I80" s="38"/>
      <c r="J80" s="38"/>
      <c r="K80" s="38"/>
      <c r="L80" s="38"/>
    </row>
    <row r="81" spans="1:12" ht="12" customHeight="1" x14ac:dyDescent="0.2">
      <c r="A81" s="38"/>
      <c r="B81" s="38"/>
      <c r="C81" s="38"/>
      <c r="D81" s="38"/>
      <c r="E81" s="38"/>
      <c r="F81" s="38"/>
      <c r="G81" s="38"/>
      <c r="H81" s="38"/>
      <c r="I81" s="38"/>
      <c r="J81" s="38"/>
      <c r="K81" s="38"/>
      <c r="L81" s="38"/>
    </row>
    <row r="82" spans="1:12" ht="12" customHeight="1" x14ac:dyDescent="0.2">
      <c r="A82" s="38"/>
      <c r="B82" s="38"/>
      <c r="C82" s="38"/>
      <c r="D82" s="38"/>
      <c r="E82" s="38"/>
      <c r="F82" s="38"/>
      <c r="G82" s="38"/>
      <c r="H82" s="38"/>
      <c r="I82" s="38"/>
      <c r="J82" s="38"/>
      <c r="K82" s="38"/>
      <c r="L82" s="38"/>
    </row>
    <row r="83" spans="1:12" ht="12" customHeight="1" x14ac:dyDescent="0.2">
      <c r="A83" s="38"/>
      <c r="B83" s="38"/>
      <c r="C83" s="38"/>
      <c r="D83" s="38"/>
      <c r="E83" s="38"/>
      <c r="F83" s="38"/>
      <c r="G83" s="38"/>
      <c r="H83" s="38"/>
      <c r="I83" s="38"/>
      <c r="J83" s="38"/>
      <c r="K83" s="38"/>
      <c r="L83" s="38"/>
    </row>
    <row r="84" spans="1:12" ht="12" customHeight="1" x14ac:dyDescent="0.2">
      <c r="A84" s="38"/>
      <c r="B84" s="38"/>
      <c r="C84" s="38"/>
      <c r="D84" s="38"/>
      <c r="E84" s="38"/>
      <c r="F84" s="38"/>
      <c r="G84" s="38"/>
      <c r="H84" s="38"/>
      <c r="I84" s="38"/>
      <c r="J84" s="38"/>
      <c r="K84" s="38"/>
      <c r="L84" s="38"/>
    </row>
    <row r="85" spans="1:12" ht="12" customHeight="1" x14ac:dyDescent="0.2">
      <c r="A85" s="38"/>
      <c r="B85" s="38"/>
      <c r="C85" s="38"/>
      <c r="D85" s="38"/>
      <c r="E85" s="38"/>
      <c r="F85" s="38"/>
      <c r="G85" s="38"/>
      <c r="H85" s="38"/>
      <c r="I85" s="38"/>
      <c r="J85" s="38"/>
      <c r="K85" s="38"/>
      <c r="L85" s="38"/>
    </row>
    <row r="86" spans="1:12" ht="12" customHeight="1" x14ac:dyDescent="0.2">
      <c r="A86" s="38"/>
      <c r="B86" s="38"/>
      <c r="C86" s="38"/>
      <c r="D86" s="38"/>
      <c r="E86" s="38"/>
      <c r="F86" s="38"/>
      <c r="G86" s="38"/>
      <c r="H86" s="38"/>
      <c r="I86" s="38"/>
      <c r="J86" s="38"/>
      <c r="K86" s="38"/>
      <c r="L86" s="38"/>
    </row>
    <row r="87" spans="1:12" ht="12" customHeight="1" x14ac:dyDescent="0.2">
      <c r="A87" s="38"/>
      <c r="B87" s="38"/>
      <c r="C87" s="38"/>
      <c r="D87" s="38"/>
      <c r="E87" s="38"/>
      <c r="F87" s="38"/>
      <c r="G87" s="38"/>
      <c r="H87" s="38"/>
      <c r="I87" s="38"/>
      <c r="J87" s="38"/>
      <c r="K87" s="38"/>
      <c r="L87" s="38"/>
    </row>
    <row r="88" spans="1:12" ht="12" customHeight="1" x14ac:dyDescent="0.2">
      <c r="A88" s="38"/>
      <c r="B88" s="38"/>
      <c r="C88" s="38"/>
      <c r="D88" s="38"/>
      <c r="E88" s="38"/>
      <c r="F88" s="38"/>
      <c r="G88" s="38"/>
      <c r="H88" s="38"/>
      <c r="I88" s="38"/>
      <c r="J88" s="38"/>
      <c r="K88" s="38"/>
      <c r="L88" s="38"/>
    </row>
    <row r="89" spans="1:12" ht="12" customHeight="1" x14ac:dyDescent="0.2"/>
    <row r="90" spans="1:12" ht="12" customHeight="1" x14ac:dyDescent="0.2"/>
    <row r="91" spans="1:12" ht="12" customHeight="1" x14ac:dyDescent="0.2"/>
    <row r="92" spans="1:12" ht="12" customHeight="1" x14ac:dyDescent="0.2"/>
    <row r="93" spans="1:12" ht="12" customHeight="1" x14ac:dyDescent="0.2"/>
    <row r="94" spans="1:12" ht="12" customHeight="1" x14ac:dyDescent="0.2"/>
    <row r="95" spans="1:12" ht="12" customHeight="1" x14ac:dyDescent="0.2"/>
    <row r="96" spans="1:12"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0.15" customHeight="1" x14ac:dyDescent="0.2"/>
    <row r="113" ht="10.15" customHeight="1" x14ac:dyDescent="0.2"/>
    <row r="114" ht="10.15" customHeight="1" x14ac:dyDescent="0.2"/>
    <row r="115" ht="10.15" customHeight="1" x14ac:dyDescent="0.2"/>
    <row r="116" x14ac:dyDescent="0.2"/>
    <row r="117" x14ac:dyDescent="0.2"/>
    <row r="118" x14ac:dyDescent="0.2"/>
  </sheetData>
  <sheetProtection sheet="1"/>
  <pageMargins left="0.70866141732283472" right="0.70866141732283472" top="0.74803149606299213" bottom="0.74803149606299213" header="0.31496062992125984" footer="0.31496062992125984"/>
  <pageSetup paperSize="9" scale="88" orientation="landscape" r:id="rId1"/>
  <rowBreaks count="1" manualBreakCount="1">
    <brk id="43" max="1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EFC1CE25C1704487E95655DB996CA0" ma:contentTypeVersion="7" ma:contentTypeDescription="Create a new document." ma:contentTypeScope="" ma:versionID="5a531ea94acbfbf572589ff4873326f5">
  <xsd:schema xmlns:xsd="http://www.w3.org/2001/XMLSchema" xmlns:xs="http://www.w3.org/2001/XMLSchema" xmlns:p="http://schemas.microsoft.com/office/2006/metadata/properties" xmlns:ns2="e24e4495-212a-42a2-be71-36f342494346" targetNamespace="http://schemas.microsoft.com/office/2006/metadata/properties" ma:root="true" ma:fieldsID="44cec4d47b683ade35c56cd5178360d0" ns2:_="">
    <xsd:import namespace="e24e4495-212a-42a2-be71-36f34249434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4e4495-212a-42a2-be71-36f3424943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59AA5-9FAC-423F-918E-31447625B0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4e4495-212a-42a2-be71-36f342494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A89540-D601-478A-88E7-839FDD98186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FD28369-5AD0-4DC0-8121-966C8F0674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16</vt:i4>
      </vt:variant>
    </vt:vector>
  </HeadingPairs>
  <TitlesOfParts>
    <vt:vector size="27" baseType="lpstr">
      <vt:lpstr>Uitleg</vt:lpstr>
      <vt:lpstr>Invoer algemeen en balans</vt:lpstr>
      <vt:lpstr>Invoer exploitatie</vt:lpstr>
      <vt:lpstr>Vrije kasstroom</vt:lpstr>
      <vt:lpstr>Rendementseis</vt:lpstr>
      <vt:lpstr>Illiq-opslag</vt:lpstr>
      <vt:lpstr>DCFM</vt:lpstr>
      <vt:lpstr>APV</vt:lpstr>
      <vt:lpstr>Financiering</vt:lpstr>
      <vt:lpstr>Activadeal</vt:lpstr>
      <vt:lpstr>Afkap rw</vt:lpstr>
      <vt:lpstr>Activadeal!Afdrukbereik</vt:lpstr>
      <vt:lpstr>'Afkap rw'!Afdrukbereik</vt:lpstr>
      <vt:lpstr>APV!Afdrukbereik</vt:lpstr>
      <vt:lpstr>DCFM!Afdrukbereik</vt:lpstr>
      <vt:lpstr>Financiering!Afdrukbereik</vt:lpstr>
      <vt:lpstr>'Invoer algemeen en balans'!Afdrukbereik</vt:lpstr>
      <vt:lpstr>'Invoer exploitatie'!Afdrukbereik</vt:lpstr>
      <vt:lpstr>Rendementseis!Afdrukbereik</vt:lpstr>
      <vt:lpstr>'Vrije kasstroom'!Afdrukbereik</vt:lpstr>
      <vt:lpstr>Financiering!Afdruktitels</vt:lpstr>
      <vt:lpstr>'Invoer exploitatie'!Afdruktitels</vt:lpstr>
      <vt:lpstr>'Invoer algemeen en balans'!inflatie</vt:lpstr>
      <vt:lpstr>keu</vt:lpstr>
      <vt:lpstr>tax</vt:lpstr>
      <vt:lpstr>wacc</vt:lpstr>
      <vt:lpstr>waccrest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Meijer/MFAS</dc:creator>
  <cp:lastModifiedBy>Chris Denneboom | ValuePro</cp:lastModifiedBy>
  <cp:lastPrinted>2018-12-18T11:18:58Z</cp:lastPrinted>
  <dcterms:created xsi:type="dcterms:W3CDTF">2016-12-16T13:32:16Z</dcterms:created>
  <dcterms:modified xsi:type="dcterms:W3CDTF">2022-08-30T13:18:09Z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0x010100DCEFC1CE25C1704487E95655DB996CA0</vt:lpwstr>
  </property>
</Properties>
</file>