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omments2.xml" ContentType="application/vnd.openxmlformats-officedocument.spreadsheetml.comments+xml"/>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omments4.xml" ContentType="application/vnd.openxmlformats-officedocument.spreadsheetml.comments+xml"/>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omments6.xml" ContentType="application/vnd.openxmlformats-officedocument.spreadsheetml.comments+xml"/>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baconsultancy-my.sharepoint.com/personal/cdenneboom_valuepro_nl/Documents/CF/Rekenmodellen/DCF basisrekenmodel/"/>
    </mc:Choice>
  </mc:AlternateContent>
  <xr:revisionPtr revIDLastSave="2445" documentId="8_{FEA25BE9-9EF8-4B8F-9CBD-48585207A7A6}" xr6:coauthVersionLast="47" xr6:coauthVersionMax="47" xr10:uidLastSave="{186A16B0-FF24-47AE-AABB-68E7B438BA7C}"/>
  <bookViews>
    <workbookView xWindow="71880" yWindow="-120" windowWidth="29040" windowHeight="17520" tabRatio="701" xr2:uid="{00000000-000D-0000-FFFF-FFFF00000000}"/>
  </bookViews>
  <sheets>
    <sheet name="Uitleg" sheetId="6" r:id="rId1"/>
    <sheet name="Invoer algemeen en balans" sheetId="9" r:id="rId2"/>
    <sheet name="Invoer exploitatie" sheetId="11" r:id="rId3"/>
    <sheet name="Vrije kasstroom" sheetId="13" r:id="rId4"/>
    <sheet name="Rendementseis  - Keu Referentie" sheetId="1" r:id="rId5"/>
    <sheet name="Rendementseis - Build-up" sheetId="19" r:id="rId6"/>
    <sheet name="Keu - Branche" sheetId="15" state="veryHidden" r:id="rId7"/>
    <sheet name="Keu - Grootte" sheetId="16" state="veryHidden" r:id="rId8"/>
    <sheet name="Keu - OG" sheetId="17" state="veryHidden" r:id="rId9"/>
    <sheet name="Illiq-opslag" sheetId="14" r:id="rId10"/>
    <sheet name="DCFM" sheetId="3" r:id="rId11"/>
    <sheet name="APV" sheetId="4" r:id="rId12"/>
    <sheet name="Financiering" sheetId="5" r:id="rId13"/>
    <sheet name="Activadeal" sheetId="7" r:id="rId14"/>
    <sheet name="Afkap rw" sheetId="8" r:id="rId15"/>
  </sheets>
  <definedNames>
    <definedName name="_xlnm.Print_Area" localSheetId="13">Activadeal!$A$1:$F$29</definedName>
    <definedName name="_xlnm.Print_Area" localSheetId="14">'Afkap rw'!$A$1:$B$12</definedName>
    <definedName name="_xlnm.Print_Area" localSheetId="11">APV!$A$1:$I$38</definedName>
    <definedName name="_xlnm.Print_Area" localSheetId="10">DCFM!$A$1:$I$32</definedName>
    <definedName name="_xlnm.Print_Area" localSheetId="12">Financiering!$A$1:$K$73</definedName>
    <definedName name="_xlnm.Print_Area" localSheetId="1">'Invoer algemeen en balans'!$A$1:$J$75</definedName>
    <definedName name="_xlnm.Print_Area" localSheetId="2">'Invoer exploitatie'!$A$1:$J$101</definedName>
    <definedName name="_xlnm.Print_Area" localSheetId="4">'Rendementseis  - Keu Referentie'!$A$1:$F$62</definedName>
    <definedName name="_xlnm.Print_Area" localSheetId="3">'Vrije kasstroom'!$A$3:$J$16</definedName>
    <definedName name="_xlnm.Print_Titles" localSheetId="12">Financiering!$18:$18</definedName>
    <definedName name="_xlnm.Print_Titles" localSheetId="2">'Invoer exploitatie'!$1:$2</definedName>
    <definedName name="inflatie" localSheetId="1">'Invoer algemeen en balans'!$D$7</definedName>
    <definedName name="inflatie" localSheetId="2">'Invoer exploitatie'!#REF!</definedName>
    <definedName name="inflatie" localSheetId="3">'Vrije kasstroom'!#REF!</definedName>
    <definedName name="inflatie">#REF!</definedName>
    <definedName name="keu" localSheetId="9">#REF!</definedName>
    <definedName name="KeuBuildUp">'Rendementseis - Build-up'!$C$15</definedName>
    <definedName name="KeuReferentie">'Rendementseis  - Keu Referentie'!$C$42</definedName>
    <definedName name="tax" localSheetId="9">#REF!</definedName>
    <definedName name="wacc" localSheetId="9">#REF!</definedName>
    <definedName name="WACCBuildUpRest">'Rendementseis - Build-up'!$C$34</definedName>
    <definedName name="WACCBuildUpScen">'Rendementseis - Build-up'!$C$31</definedName>
    <definedName name="WACCReferentieRest">'Rendementseis  - Keu Referentie'!$C$61</definedName>
    <definedName name="WACCReferentieScen">'Rendementseis  - Keu Referentie'!$C$58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5" l="1"/>
  <c r="J38" i="5"/>
  <c r="K38" i="5"/>
  <c r="H38" i="5"/>
  <c r="A37" i="1"/>
  <c r="C35" i="1"/>
  <c r="A35" i="1"/>
  <c r="A14" i="1"/>
  <c r="C14" i="1"/>
  <c r="E5" i="1" l="1"/>
  <c r="A8" i="1"/>
  <c r="C37" i="1"/>
  <c r="E12" i="1"/>
  <c r="E11" i="1"/>
  <c r="E10" i="1"/>
  <c r="E9" i="1"/>
  <c r="E7" i="1"/>
  <c r="E6" i="1"/>
  <c r="C20" i="1"/>
  <c r="A16" i="1"/>
  <c r="A13" i="1"/>
  <c r="A12" i="1"/>
  <c r="E36" i="9" l="1"/>
  <c r="E33" i="9"/>
  <c r="E30" i="9"/>
  <c r="E27" i="9"/>
  <c r="E85" i="11" l="1"/>
  <c r="E68" i="11"/>
  <c r="E69" i="11"/>
  <c r="E70" i="11"/>
  <c r="E71" i="11"/>
  <c r="E72" i="11"/>
  <c r="E73" i="11"/>
  <c r="E67" i="11"/>
  <c r="E56" i="11"/>
  <c r="E57" i="11"/>
  <c r="E58" i="11"/>
  <c r="E59" i="11"/>
  <c r="E55" i="11"/>
  <c r="E49" i="11"/>
  <c r="E46" i="11"/>
  <c r="E43" i="11"/>
  <c r="E32" i="11"/>
  <c r="F32" i="11" s="1"/>
  <c r="G32" i="11" s="1"/>
  <c r="H32" i="11" s="1"/>
  <c r="I32" i="11" s="1"/>
  <c r="J32" i="11" s="1"/>
  <c r="E23" i="11"/>
  <c r="F23" i="11" s="1"/>
  <c r="G23" i="11" s="1"/>
  <c r="H23" i="11" s="1"/>
  <c r="I23" i="11" s="1"/>
  <c r="J23" i="11" s="1"/>
  <c r="E24" i="11"/>
  <c r="F24" i="11"/>
  <c r="G24" i="11" s="1"/>
  <c r="H24" i="11" s="1"/>
  <c r="I24" i="11" s="1"/>
  <c r="J24" i="11" s="1"/>
  <c r="J30" i="9"/>
  <c r="I30" i="9"/>
  <c r="H30" i="9"/>
  <c r="G30" i="9"/>
  <c r="F30" i="9"/>
  <c r="H5" i="3" l="1"/>
  <c r="C5" i="3"/>
  <c r="C41" i="1" l="1"/>
  <c r="D10" i="7"/>
  <c r="F13" i="7" s="1"/>
  <c r="E10" i="7" l="1"/>
  <c r="C27" i="19" l="1"/>
  <c r="C13" i="19"/>
  <c r="C12" i="19"/>
  <c r="C11" i="19"/>
  <c r="C10" i="19"/>
  <c r="C9" i="19"/>
  <c r="C8" i="19"/>
  <c r="C7" i="19"/>
  <c r="C6" i="19"/>
  <c r="C15" i="19" l="1"/>
  <c r="C33" i="19" s="1"/>
  <c r="C34" i="19" s="1"/>
  <c r="C39" i="1"/>
  <c r="C40" i="1"/>
  <c r="C9" i="1"/>
  <c r="C36" i="1" s="1"/>
  <c r="C38" i="1" s="1"/>
  <c r="E4" i="1"/>
  <c r="C42" i="1" l="1"/>
  <c r="C19" i="1"/>
  <c r="B19" i="1" s="1"/>
  <c r="C29" i="19"/>
  <c r="C31" i="19" s="1"/>
  <c r="E12" i="16"/>
  <c r="E11" i="16"/>
  <c r="E10" i="16"/>
  <c r="E9" i="16"/>
  <c r="E8" i="16"/>
  <c r="E7" i="16"/>
  <c r="E6" i="16"/>
  <c r="E5" i="16"/>
  <c r="E4" i="16"/>
  <c r="E3" i="16"/>
  <c r="L12" i="15"/>
  <c r="F12" i="15"/>
  <c r="L11" i="15"/>
  <c r="F11" i="15"/>
  <c r="L10" i="15"/>
  <c r="F10" i="15"/>
  <c r="L9" i="15"/>
  <c r="F9" i="15"/>
  <c r="L8" i="15"/>
  <c r="F8" i="15"/>
  <c r="L7" i="15"/>
  <c r="F7" i="15"/>
  <c r="L6" i="15"/>
  <c r="F6" i="15"/>
  <c r="L5" i="15"/>
  <c r="F5" i="15"/>
  <c r="L4" i="15"/>
  <c r="F4" i="15"/>
  <c r="L3" i="15"/>
  <c r="F3" i="15"/>
  <c r="L2" i="15"/>
  <c r="F2" i="15"/>
  <c r="E19" i="1" l="1"/>
  <c r="G4" i="14"/>
  <c r="F10" i="14" s="1"/>
  <c r="C60" i="1"/>
  <c r="C61" i="1" s="1"/>
  <c r="H4" i="3" s="1"/>
  <c r="A43" i="1" l="1"/>
  <c r="F11" i="14"/>
  <c r="C4" i="4"/>
  <c r="B19" i="9"/>
  <c r="B18" i="9"/>
  <c r="B39" i="14" l="1"/>
  <c r="B38" i="14"/>
  <c r="B37" i="14" s="1"/>
  <c r="E36" i="14"/>
  <c r="F36" i="14" s="1"/>
  <c r="G36" i="14" s="1"/>
  <c r="G5" i="14"/>
  <c r="G9" i="14"/>
  <c r="A16" i="14"/>
  <c r="F76" i="11"/>
  <c r="G76" i="11"/>
  <c r="H76" i="11"/>
  <c r="I76" i="11"/>
  <c r="J76" i="11"/>
  <c r="E76" i="11"/>
  <c r="E55" i="9"/>
  <c r="F55" i="9" s="1"/>
  <c r="D10" i="9"/>
  <c r="I26" i="3" s="1"/>
  <c r="C5" i="11"/>
  <c r="D5" i="11"/>
  <c r="D21" i="9"/>
  <c r="C21" i="9"/>
  <c r="B21" i="9"/>
  <c r="D13" i="9"/>
  <c r="I27" i="3" s="1"/>
  <c r="A2" i="8"/>
  <c r="A2" i="7"/>
  <c r="A18" i="5"/>
  <c r="A7" i="4"/>
  <c r="A7" i="3"/>
  <c r="A3" i="13"/>
  <c r="A20" i="11"/>
  <c r="A22" i="9"/>
  <c r="D15" i="11"/>
  <c r="E15" i="11" s="1"/>
  <c r="F15" i="11" s="1"/>
  <c r="D14" i="11"/>
  <c r="E14" i="11" s="1"/>
  <c r="D13" i="11"/>
  <c r="E13" i="11" s="1"/>
  <c r="F13" i="11" s="1"/>
  <c r="D12" i="11"/>
  <c r="E12" i="11" s="1"/>
  <c r="D11" i="11"/>
  <c r="E11" i="11" s="1"/>
  <c r="A8" i="8"/>
  <c r="F85" i="11"/>
  <c r="F31" i="9" s="1"/>
  <c r="E86" i="11"/>
  <c r="E87" i="11"/>
  <c r="E37" i="9"/>
  <c r="E82" i="11"/>
  <c r="F82" i="11" s="1"/>
  <c r="G82" i="11" s="1"/>
  <c r="H82" i="11" s="1"/>
  <c r="A31" i="11"/>
  <c r="E39" i="9"/>
  <c r="F39" i="9" s="1"/>
  <c r="G39" i="9" s="1"/>
  <c r="H39" i="9" s="1"/>
  <c r="I39" i="9" s="1"/>
  <c r="J39" i="9" s="1"/>
  <c r="E38" i="9"/>
  <c r="F36" i="9"/>
  <c r="G36" i="9" s="1"/>
  <c r="H36" i="9" s="1"/>
  <c r="I36" i="9" s="1"/>
  <c r="J36" i="9" s="1"/>
  <c r="E23" i="9"/>
  <c r="F23" i="9" s="1"/>
  <c r="J95" i="11"/>
  <c r="F75" i="9"/>
  <c r="G75" i="9"/>
  <c r="H75" i="9" s="1"/>
  <c r="I75" i="9" s="1"/>
  <c r="J75" i="9" s="1"/>
  <c r="B14" i="11"/>
  <c r="C14" i="11"/>
  <c r="C88" i="11"/>
  <c r="D88" i="11"/>
  <c r="B88" i="11"/>
  <c r="C74" i="11"/>
  <c r="B60" i="11"/>
  <c r="D54" i="11"/>
  <c r="D47" i="11"/>
  <c r="B47" i="11"/>
  <c r="F97" i="11"/>
  <c r="G97" i="11" s="1"/>
  <c r="H97" i="11" s="1"/>
  <c r="I97" i="11" s="1"/>
  <c r="J97" i="11" s="1"/>
  <c r="E66" i="9"/>
  <c r="F66" i="9" s="1"/>
  <c r="G66" i="9" s="1"/>
  <c r="H66" i="9" s="1"/>
  <c r="I66" i="9" s="1"/>
  <c r="J66" i="9" s="1"/>
  <c r="E65" i="9"/>
  <c r="F65" i="9" s="1"/>
  <c r="G65" i="9" s="1"/>
  <c r="H65" i="9" s="1"/>
  <c r="I65" i="9" s="1"/>
  <c r="J65" i="9" s="1"/>
  <c r="E59" i="9"/>
  <c r="F59" i="9" s="1"/>
  <c r="G59" i="9" s="1"/>
  <c r="H59" i="9" s="1"/>
  <c r="I59" i="9" s="1"/>
  <c r="J59" i="9" s="1"/>
  <c r="E58" i="9"/>
  <c r="F58" i="9" s="1"/>
  <c r="G58" i="9" s="1"/>
  <c r="H58" i="9" s="1"/>
  <c r="I58" i="9" s="1"/>
  <c r="J58" i="9" s="1"/>
  <c r="E48" i="9"/>
  <c r="F48" i="9" s="1"/>
  <c r="G48" i="9" s="1"/>
  <c r="H48" i="9" s="1"/>
  <c r="I48" i="9" s="1"/>
  <c r="J48" i="9" s="1"/>
  <c r="C64" i="9"/>
  <c r="C70" i="9" s="1"/>
  <c r="D64" i="9"/>
  <c r="D70" i="9" s="1"/>
  <c r="B64" i="9"/>
  <c r="B68" i="9" s="1"/>
  <c r="B20" i="9"/>
  <c r="E44" i="9"/>
  <c r="F44" i="9" s="1"/>
  <c r="G44" i="9" s="1"/>
  <c r="H44" i="9" s="1"/>
  <c r="I44" i="9" s="1"/>
  <c r="J44" i="9" s="1"/>
  <c r="E43" i="9"/>
  <c r="F43" i="9"/>
  <c r="G43" i="9" s="1"/>
  <c r="H43" i="9" s="1"/>
  <c r="I43" i="9" s="1"/>
  <c r="J43" i="9" s="1"/>
  <c r="C50" i="9"/>
  <c r="D50" i="9"/>
  <c r="B50" i="9"/>
  <c r="B69" i="9" s="1"/>
  <c r="E84" i="11"/>
  <c r="D3" i="13"/>
  <c r="E3" i="13"/>
  <c r="F3" i="13" s="1"/>
  <c r="G3" i="13" s="1"/>
  <c r="H3" i="13" s="1"/>
  <c r="I3" i="13" s="1"/>
  <c r="J3" i="13" s="1"/>
  <c r="E67" i="9"/>
  <c r="F67" i="9" s="1"/>
  <c r="G67" i="9" s="1"/>
  <c r="H67" i="9" s="1"/>
  <c r="I67" i="9" s="1"/>
  <c r="J67" i="9" s="1"/>
  <c r="C15" i="11"/>
  <c r="J5" i="13"/>
  <c r="G23" i="5" s="1"/>
  <c r="I5" i="13"/>
  <c r="F13" i="3"/>
  <c r="F23" i="5"/>
  <c r="H5" i="13"/>
  <c r="G5" i="13"/>
  <c r="D13" i="3"/>
  <c r="F5" i="13"/>
  <c r="C13" i="4" s="1"/>
  <c r="E5" i="13"/>
  <c r="B13" i="3"/>
  <c r="A28" i="11"/>
  <c r="A29" i="11"/>
  <c r="A30" i="11"/>
  <c r="A27" i="11"/>
  <c r="A12" i="11"/>
  <c r="A13" i="11"/>
  <c r="A14" i="11"/>
  <c r="A15" i="11"/>
  <c r="A11" i="11"/>
  <c r="A6" i="11"/>
  <c r="A7" i="11"/>
  <c r="A8" i="11"/>
  <c r="A9" i="11"/>
  <c r="A5" i="11"/>
  <c r="C54" i="11"/>
  <c r="B54" i="11"/>
  <c r="D60" i="11"/>
  <c r="C66" i="11"/>
  <c r="D66" i="11"/>
  <c r="B66" i="11"/>
  <c r="C47" i="11"/>
  <c r="C34" i="11"/>
  <c r="C19" i="9" s="1"/>
  <c r="D34" i="11"/>
  <c r="D19" i="9" s="1"/>
  <c r="B34" i="11"/>
  <c r="B12" i="11"/>
  <c r="C12" i="11"/>
  <c r="B13" i="11"/>
  <c r="C13" i="11"/>
  <c r="B15" i="11"/>
  <c r="B11" i="11"/>
  <c r="C11" i="11"/>
  <c r="D6" i="11"/>
  <c r="D7" i="11"/>
  <c r="D8" i="11"/>
  <c r="D9" i="11"/>
  <c r="C6" i="11"/>
  <c r="C7" i="11"/>
  <c r="C8" i="11"/>
  <c r="C9" i="11"/>
  <c r="D26" i="11"/>
  <c r="D10" i="11" s="1"/>
  <c r="B26" i="11"/>
  <c r="D15" i="9"/>
  <c r="D22" i="9" s="1"/>
  <c r="E93" i="11"/>
  <c r="B23" i="4" s="1"/>
  <c r="C4" i="5"/>
  <c r="C5" i="5"/>
  <c r="I31" i="4"/>
  <c r="I25" i="3"/>
  <c r="C6" i="5"/>
  <c r="E47" i="9"/>
  <c r="F47" i="9" s="1"/>
  <c r="G47" i="9" s="1"/>
  <c r="H47" i="9" s="1"/>
  <c r="I47" i="9" s="1"/>
  <c r="J47" i="9" s="1"/>
  <c r="B20" i="7"/>
  <c r="B19" i="7"/>
  <c r="B33" i="5"/>
  <c r="C33" i="5"/>
  <c r="D33" i="5"/>
  <c r="E33" i="5"/>
  <c r="F33" i="5" s="1"/>
  <c r="G33" i="5" s="1"/>
  <c r="H33" i="5" s="1"/>
  <c r="I33" i="5" s="1"/>
  <c r="J33" i="5" s="1"/>
  <c r="K33" i="5" s="1"/>
  <c r="C54" i="1"/>
  <c r="C56" i="1" s="1"/>
  <c r="C58" i="1" s="1"/>
  <c r="C4" i="3" s="1"/>
  <c r="B18" i="7"/>
  <c r="B13" i="7"/>
  <c r="C26" i="11"/>
  <c r="C18" i="9" s="1"/>
  <c r="C26" i="7"/>
  <c r="D74" i="11"/>
  <c r="C60" i="11"/>
  <c r="B74" i="11"/>
  <c r="E13" i="4"/>
  <c r="E28" i="9"/>
  <c r="E29" i="9" s="1"/>
  <c r="F84" i="11"/>
  <c r="F28" i="9" s="1"/>
  <c r="B13" i="4"/>
  <c r="F33" i="9"/>
  <c r="G33" i="9"/>
  <c r="H33" i="9" s="1"/>
  <c r="I33" i="9"/>
  <c r="J33" i="9"/>
  <c r="F87" i="11"/>
  <c r="E13" i="13"/>
  <c r="F13" i="4"/>
  <c r="D13" i="4"/>
  <c r="D23" i="5"/>
  <c r="F27" i="9"/>
  <c r="G27" i="9" s="1"/>
  <c r="H27" i="9"/>
  <c r="I27" i="9"/>
  <c r="J27" i="9" s="1"/>
  <c r="G13" i="3"/>
  <c r="E13" i="3"/>
  <c r="E23" i="5"/>
  <c r="G87" i="11"/>
  <c r="G37" i="9" s="1"/>
  <c r="F37" i="9"/>
  <c r="F38" i="9" s="1"/>
  <c r="G38" i="9" s="1"/>
  <c r="C23" i="5"/>
  <c r="B23" i="5"/>
  <c r="F24" i="9"/>
  <c r="E24" i="9"/>
  <c r="E25" i="9"/>
  <c r="E31" i="9"/>
  <c r="E32" i="9" s="1"/>
  <c r="F86" i="11"/>
  <c r="F34" i="9"/>
  <c r="E88" i="11"/>
  <c r="B11" i="4" s="1"/>
  <c r="E34" i="9"/>
  <c r="E35" i="9"/>
  <c r="F35" i="9" s="1"/>
  <c r="G24" i="9"/>
  <c r="G86" i="11"/>
  <c r="G23" i="9"/>
  <c r="G13" i="4"/>
  <c r="C13" i="3"/>
  <c r="B40" i="14"/>
  <c r="B41" i="14" s="1"/>
  <c r="B17" i="11"/>
  <c r="B35" i="11"/>
  <c r="B16" i="9"/>
  <c r="B16" i="11"/>
  <c r="B19" i="11"/>
  <c r="B18" i="11"/>
  <c r="I32" i="4"/>
  <c r="C10" i="11"/>
  <c r="F31" i="5" l="1"/>
  <c r="C10" i="5"/>
  <c r="B34" i="5" s="1"/>
  <c r="E19" i="9"/>
  <c r="F19" i="9" s="1"/>
  <c r="G19" i="9" s="1"/>
  <c r="H19" i="9" s="1"/>
  <c r="I19" i="9" s="1"/>
  <c r="J19" i="9" s="1"/>
  <c r="C16" i="9"/>
  <c r="C35" i="11"/>
  <c r="C78" i="11"/>
  <c r="C17" i="11" s="1"/>
  <c r="C16" i="11"/>
  <c r="C68" i="9"/>
  <c r="C20" i="9" s="1"/>
  <c r="D71" i="9"/>
  <c r="B17" i="4"/>
  <c r="F25" i="9"/>
  <c r="G25" i="9" s="1"/>
  <c r="B11" i="3"/>
  <c r="B17" i="3" s="1"/>
  <c r="E10" i="13"/>
  <c r="B27" i="5" s="1"/>
  <c r="G84" i="11"/>
  <c r="B22" i="5"/>
  <c r="F88" i="11"/>
  <c r="C11" i="3" s="1"/>
  <c r="D78" i="11"/>
  <c r="D17" i="11" s="1"/>
  <c r="D16" i="9"/>
  <c r="D35" i="11"/>
  <c r="D19" i="11" s="1"/>
  <c r="G13" i="11"/>
  <c r="H13" i="11" s="1"/>
  <c r="F12" i="11"/>
  <c r="G12" i="11" s="1"/>
  <c r="D16" i="11"/>
  <c r="F11" i="11"/>
  <c r="D68" i="9"/>
  <c r="D20" i="9" s="1"/>
  <c r="D36" i="14"/>
  <c r="C36" i="14" s="1"/>
  <c r="E13" i="7"/>
  <c r="C15" i="9"/>
  <c r="D2" i="11"/>
  <c r="E15" i="9"/>
  <c r="B18" i="5" s="1"/>
  <c r="C18" i="5" s="1"/>
  <c r="D18" i="5" s="1"/>
  <c r="E18" i="5" s="1"/>
  <c r="F18" i="5" s="1"/>
  <c r="G18" i="5" s="1"/>
  <c r="H18" i="5" s="1"/>
  <c r="I18" i="5" s="1"/>
  <c r="J18" i="5" s="1"/>
  <c r="K18" i="5" s="1"/>
  <c r="E53" i="11"/>
  <c r="E62" i="11"/>
  <c r="E7" i="11"/>
  <c r="E29" i="11" s="1"/>
  <c r="E8" i="11"/>
  <c r="E30" i="11" s="1"/>
  <c r="E9" i="11"/>
  <c r="E25" i="11" s="1"/>
  <c r="E52" i="11"/>
  <c r="E41" i="11"/>
  <c r="E61" i="11"/>
  <c r="E44" i="11"/>
  <c r="F68" i="11"/>
  <c r="E50" i="11"/>
  <c r="E48" i="11"/>
  <c r="E64" i="11"/>
  <c r="E40" i="11"/>
  <c r="E63" i="11"/>
  <c r="E51" i="11"/>
  <c r="E42" i="11"/>
  <c r="E45" i="11"/>
  <c r="E6" i="11"/>
  <c r="E22" i="11" s="1"/>
  <c r="E28" i="11" s="1"/>
  <c r="E65" i="11"/>
  <c r="E5" i="11"/>
  <c r="E21" i="11" s="1"/>
  <c r="E27" i="11" s="1"/>
  <c r="G55" i="9"/>
  <c r="H31" i="5"/>
  <c r="E31" i="5"/>
  <c r="C31" i="5"/>
  <c r="J31" i="5"/>
  <c r="K31" i="5"/>
  <c r="G31" i="5"/>
  <c r="B31" i="5"/>
  <c r="D31" i="5"/>
  <c r="I31" i="5"/>
  <c r="B78" i="11"/>
  <c r="B80" i="11" s="1"/>
  <c r="F32" i="9"/>
  <c r="G34" i="9"/>
  <c r="G35" i="9" s="1"/>
  <c r="H86" i="11"/>
  <c r="F14" i="11"/>
  <c r="G13" i="13"/>
  <c r="H23" i="9"/>
  <c r="H87" i="11"/>
  <c r="F29" i="9"/>
  <c r="I82" i="11"/>
  <c r="F13" i="13"/>
  <c r="E31" i="11"/>
  <c r="H24" i="9"/>
  <c r="G85" i="11"/>
  <c r="D18" i="9"/>
  <c r="E18" i="9" s="1"/>
  <c r="B17" i="9"/>
  <c r="I33" i="4"/>
  <c r="B70" i="9"/>
  <c r="C71" i="9" s="1"/>
  <c r="E16" i="9" l="1"/>
  <c r="F16" i="9" s="1"/>
  <c r="G16" i="9" s="1"/>
  <c r="H16" i="9" s="1"/>
  <c r="C22" i="5"/>
  <c r="C11" i="4"/>
  <c r="C17" i="4" s="1"/>
  <c r="F10" i="13"/>
  <c r="C27" i="5" s="1"/>
  <c r="C17" i="9"/>
  <c r="C19" i="11"/>
  <c r="C80" i="11"/>
  <c r="C18" i="11" s="1"/>
  <c r="F63" i="11"/>
  <c r="F46" i="11"/>
  <c r="G46" i="11" s="1"/>
  <c r="F72" i="11"/>
  <c r="G72" i="11" s="1"/>
  <c r="F49" i="11"/>
  <c r="G49" i="11" s="1"/>
  <c r="F73" i="11"/>
  <c r="G73" i="11" s="1"/>
  <c r="C69" i="9"/>
  <c r="G28" i="9"/>
  <c r="G29" i="9" s="1"/>
  <c r="H84" i="11"/>
  <c r="E34" i="11"/>
  <c r="B9" i="4" s="1"/>
  <c r="D80" i="11"/>
  <c r="D17" i="9"/>
  <c r="G11" i="11"/>
  <c r="D69" i="9"/>
  <c r="B14" i="7"/>
  <c r="B15" i="7" s="1"/>
  <c r="B7" i="4"/>
  <c r="C7" i="4" s="1"/>
  <c r="D7" i="4" s="1"/>
  <c r="E7" i="4" s="1"/>
  <c r="F7" i="4" s="1"/>
  <c r="G7" i="4" s="1"/>
  <c r="F15" i="9"/>
  <c r="G15" i="9" s="1"/>
  <c r="B15" i="9"/>
  <c r="B22" i="9" s="1"/>
  <c r="C22" i="9"/>
  <c r="E22" i="9"/>
  <c r="B7" i="3"/>
  <c r="C7" i="3" s="1"/>
  <c r="D7" i="3" s="1"/>
  <c r="E7" i="3" s="1"/>
  <c r="F7" i="3" s="1"/>
  <c r="G7" i="3" s="1"/>
  <c r="C2" i="11"/>
  <c r="D20" i="11"/>
  <c r="E2" i="11"/>
  <c r="I13" i="11"/>
  <c r="C14" i="5"/>
  <c r="C16" i="5" s="1"/>
  <c r="E26" i="11"/>
  <c r="E42" i="9" s="1"/>
  <c r="H37" i="9"/>
  <c r="H38" i="9" s="1"/>
  <c r="I87" i="11"/>
  <c r="H12" i="11"/>
  <c r="H25" i="9"/>
  <c r="F65" i="11"/>
  <c r="F40" i="11"/>
  <c r="F44" i="11"/>
  <c r="F43" i="11"/>
  <c r="F62" i="11"/>
  <c r="G62" i="11" s="1"/>
  <c r="F59" i="11"/>
  <c r="F31" i="11"/>
  <c r="G15" i="11"/>
  <c r="B64" i="5"/>
  <c r="F64" i="11"/>
  <c r="F71" i="11"/>
  <c r="F67" i="11"/>
  <c r="E74" i="11"/>
  <c r="F53" i="11"/>
  <c r="G68" i="11"/>
  <c r="C17" i="3"/>
  <c r="G31" i="9"/>
  <c r="G32" i="9" s="1"/>
  <c r="G88" i="11"/>
  <c r="H85" i="11"/>
  <c r="B90" i="11"/>
  <c r="B91" i="11"/>
  <c r="B94" i="11" s="1"/>
  <c r="F8" i="11"/>
  <c r="F30" i="11" s="1"/>
  <c r="F5" i="11"/>
  <c r="F21" i="11" s="1"/>
  <c r="F27" i="11" s="1"/>
  <c r="F7" i="11"/>
  <c r="F29" i="11" s="1"/>
  <c r="G3" i="11"/>
  <c r="F6" i="11"/>
  <c r="F22" i="11" s="1"/>
  <c r="F28" i="11" s="1"/>
  <c r="F9" i="11"/>
  <c r="F25" i="11" s="1"/>
  <c r="H34" i="9"/>
  <c r="H35" i="9" s="1"/>
  <c r="I86" i="11"/>
  <c r="F45" i="11"/>
  <c r="G45" i="11" s="1"/>
  <c r="F58" i="11"/>
  <c r="F61" i="11"/>
  <c r="E66" i="11"/>
  <c r="F42" i="11"/>
  <c r="G42" i="11" s="1"/>
  <c r="E60" i="11"/>
  <c r="F55" i="11"/>
  <c r="J82" i="11"/>
  <c r="I24" i="9"/>
  <c r="I23" i="9"/>
  <c r="H13" i="13"/>
  <c r="H55" i="9"/>
  <c r="F48" i="11"/>
  <c r="E54" i="11"/>
  <c r="F56" i="11"/>
  <c r="G56" i="11" s="1"/>
  <c r="F70" i="11"/>
  <c r="F50" i="11"/>
  <c r="G50" i="11" s="1"/>
  <c r="F41" i="11"/>
  <c r="G41" i="11" s="1"/>
  <c r="F69" i="11"/>
  <c r="G69" i="11" s="1"/>
  <c r="F18" i="9"/>
  <c r="G14" i="11"/>
  <c r="F51" i="11"/>
  <c r="G51" i="11" s="1"/>
  <c r="F57" i="11"/>
  <c r="G57" i="11" s="1"/>
  <c r="F52" i="11"/>
  <c r="G52" i="11" s="1"/>
  <c r="E17" i="9" l="1"/>
  <c r="F17" i="9" s="1"/>
  <c r="G17" i="9" s="1"/>
  <c r="H17" i="9" s="1"/>
  <c r="I17" i="9" s="1"/>
  <c r="G63" i="11"/>
  <c r="C91" i="11"/>
  <c r="C94" i="11" s="1"/>
  <c r="C101" i="11" s="1"/>
  <c r="C90" i="11"/>
  <c r="G44" i="11"/>
  <c r="G58" i="11"/>
  <c r="F34" i="11"/>
  <c r="F57" i="9" s="1"/>
  <c r="B9" i="3"/>
  <c r="H28" i="9"/>
  <c r="H29" i="9" s="1"/>
  <c r="I84" i="11"/>
  <c r="E57" i="9"/>
  <c r="B20" i="5"/>
  <c r="D90" i="11"/>
  <c r="D91" i="11"/>
  <c r="D94" i="11" s="1"/>
  <c r="D18" i="11"/>
  <c r="H11" i="11"/>
  <c r="F22" i="9"/>
  <c r="B17" i="7"/>
  <c r="F16" i="14"/>
  <c r="D11" i="7"/>
  <c r="E11" i="7" s="1"/>
  <c r="F2" i="11"/>
  <c r="E20" i="11"/>
  <c r="B2" i="11"/>
  <c r="B20" i="11" s="1"/>
  <c r="C20" i="11"/>
  <c r="B28" i="7"/>
  <c r="F26" i="11"/>
  <c r="F42" i="9" s="1"/>
  <c r="G31" i="11"/>
  <c r="H15" i="11"/>
  <c r="G22" i="9"/>
  <c r="H15" i="9"/>
  <c r="I55" i="9"/>
  <c r="E10" i="11"/>
  <c r="E74" i="9"/>
  <c r="E16" i="11"/>
  <c r="B8" i="4"/>
  <c r="B19" i="5"/>
  <c r="B8" i="3"/>
  <c r="E35" i="11"/>
  <c r="E37" i="11" s="1"/>
  <c r="H31" i="9"/>
  <c r="H32" i="9" s="1"/>
  <c r="I85" i="11"/>
  <c r="H88" i="11"/>
  <c r="G70" i="11"/>
  <c r="G55" i="11"/>
  <c r="F60" i="11"/>
  <c r="G61" i="11"/>
  <c r="F66" i="11"/>
  <c r="D11" i="3"/>
  <c r="D17" i="3" s="1"/>
  <c r="D22" i="5"/>
  <c r="G10" i="13"/>
  <c r="D27" i="5" s="1"/>
  <c r="D11" i="4"/>
  <c r="D17" i="4" s="1"/>
  <c r="G53" i="11"/>
  <c r="G59" i="11"/>
  <c r="G43" i="11"/>
  <c r="B48" i="5"/>
  <c r="B46" i="5"/>
  <c r="F74" i="11"/>
  <c r="G67" i="11"/>
  <c r="G40" i="11"/>
  <c r="I12" i="11"/>
  <c r="B35" i="5"/>
  <c r="B40" i="5" s="1"/>
  <c r="B36" i="5"/>
  <c r="B37" i="5" s="1"/>
  <c r="J24" i="9"/>
  <c r="G18" i="9"/>
  <c r="J23" i="9"/>
  <c r="J13" i="13" s="1"/>
  <c r="I13" i="13"/>
  <c r="H45" i="11"/>
  <c r="H14" i="11"/>
  <c r="G71" i="11"/>
  <c r="G65" i="11"/>
  <c r="B99" i="11"/>
  <c r="B101" i="11"/>
  <c r="H58" i="11"/>
  <c r="H44" i="11"/>
  <c r="I25" i="9"/>
  <c r="G48" i="11"/>
  <c r="F54" i="11"/>
  <c r="I34" i="9"/>
  <c r="I35" i="9" s="1"/>
  <c r="J35" i="9" s="1"/>
  <c r="J86" i="11"/>
  <c r="J34" i="9" s="1"/>
  <c r="G8" i="11"/>
  <c r="G30" i="11" s="1"/>
  <c r="H3" i="11"/>
  <c r="H73" i="11" s="1"/>
  <c r="G9" i="11"/>
  <c r="G25" i="11" s="1"/>
  <c r="G7" i="11"/>
  <c r="G29" i="11" s="1"/>
  <c r="G6" i="11"/>
  <c r="G22" i="11" s="1"/>
  <c r="G28" i="11" s="1"/>
  <c r="G5" i="11"/>
  <c r="G21" i="11" s="1"/>
  <c r="G27" i="11" s="1"/>
  <c r="I16" i="9"/>
  <c r="G64" i="11"/>
  <c r="J87" i="11"/>
  <c r="J37" i="9" s="1"/>
  <c r="I37" i="9"/>
  <c r="I38" i="9" s="1"/>
  <c r="J38" i="9" s="1"/>
  <c r="J13" i="11"/>
  <c r="E41" i="9" l="1"/>
  <c r="E38" i="11"/>
  <c r="E39" i="11"/>
  <c r="D101" i="11"/>
  <c r="D99" i="11"/>
  <c r="C99" i="11"/>
  <c r="B27" i="7"/>
  <c r="C27" i="7"/>
  <c r="C9" i="3"/>
  <c r="C20" i="5"/>
  <c r="C9" i="4"/>
  <c r="H41" i="11"/>
  <c r="H52" i="11"/>
  <c r="G34" i="11"/>
  <c r="G57" i="9" s="1"/>
  <c r="H42" i="11"/>
  <c r="H56" i="11"/>
  <c r="H57" i="11"/>
  <c r="H72" i="11"/>
  <c r="H65" i="11"/>
  <c r="I65" i="11" s="1"/>
  <c r="H71" i="11"/>
  <c r="I71" i="11" s="1"/>
  <c r="E63" i="9"/>
  <c r="E62" i="9"/>
  <c r="H51" i="11"/>
  <c r="H64" i="11"/>
  <c r="I64" i="11" s="1"/>
  <c r="H59" i="11"/>
  <c r="J84" i="11"/>
  <c r="J28" i="9" s="1"/>
  <c r="I28" i="9"/>
  <c r="I29" i="9" s="1"/>
  <c r="I11" i="11"/>
  <c r="B12" i="7"/>
  <c r="B21" i="7" s="1"/>
  <c r="B22" i="7" s="1"/>
  <c r="B25" i="7" s="1"/>
  <c r="C28" i="7"/>
  <c r="D13" i="7"/>
  <c r="B26" i="7"/>
  <c r="G2" i="11"/>
  <c r="F20" i="11"/>
  <c r="G26" i="11"/>
  <c r="G42" i="9" s="1"/>
  <c r="H29" i="11"/>
  <c r="J16" i="9"/>
  <c r="B56" i="5"/>
  <c r="J25" i="9"/>
  <c r="I14" i="11"/>
  <c r="J12" i="11"/>
  <c r="H7" i="11"/>
  <c r="H9" i="11"/>
  <c r="H25" i="11" s="1"/>
  <c r="I3" i="11"/>
  <c r="I51" i="11" s="1"/>
  <c r="H6" i="11"/>
  <c r="H22" i="11" s="1"/>
  <c r="H28" i="11" s="1"/>
  <c r="H5" i="11"/>
  <c r="H21" i="11" s="1"/>
  <c r="H27" i="11" s="1"/>
  <c r="H8" i="11"/>
  <c r="H30" i="11" s="1"/>
  <c r="C34" i="5"/>
  <c r="H49" i="11"/>
  <c r="H61" i="11"/>
  <c r="G66" i="11"/>
  <c r="E40" i="9"/>
  <c r="E61" i="9"/>
  <c r="E46" i="9"/>
  <c r="H69" i="11"/>
  <c r="I69" i="11" s="1"/>
  <c r="G54" i="11"/>
  <c r="H48" i="11"/>
  <c r="H18" i="9"/>
  <c r="H40" i="11"/>
  <c r="H50" i="11"/>
  <c r="I15" i="11"/>
  <c r="H31" i="11"/>
  <c r="G60" i="11"/>
  <c r="H55" i="11"/>
  <c r="E19" i="11"/>
  <c r="H63" i="11"/>
  <c r="B69" i="5"/>
  <c r="B73" i="5"/>
  <c r="G74" i="11"/>
  <c r="H67" i="11"/>
  <c r="H70" i="11"/>
  <c r="H46" i="11"/>
  <c r="J17" i="9"/>
  <c r="H43" i="11"/>
  <c r="H62" i="11"/>
  <c r="H68" i="11"/>
  <c r="E22" i="5"/>
  <c r="E11" i="3"/>
  <c r="E17" i="3" s="1"/>
  <c r="H10" i="13"/>
  <c r="E27" i="5" s="1"/>
  <c r="E11" i="4"/>
  <c r="E17" i="4" s="1"/>
  <c r="J55" i="9"/>
  <c r="I15" i="9"/>
  <c r="H22" i="9"/>
  <c r="F16" i="11"/>
  <c r="F40" i="9" s="1"/>
  <c r="F10" i="11"/>
  <c r="F74" i="9"/>
  <c r="C8" i="3"/>
  <c r="F35" i="11"/>
  <c r="C19" i="5"/>
  <c r="C8" i="4"/>
  <c r="C48" i="5"/>
  <c r="C46" i="5"/>
  <c r="H53" i="11"/>
  <c r="I31" i="9"/>
  <c r="I32" i="9" s="1"/>
  <c r="J85" i="11"/>
  <c r="I88" i="11"/>
  <c r="J29" i="9" l="1"/>
  <c r="D9" i="4"/>
  <c r="D9" i="3"/>
  <c r="D20" i="5"/>
  <c r="E47" i="11"/>
  <c r="E78" i="11" s="1"/>
  <c r="E17" i="11" s="1"/>
  <c r="I63" i="11"/>
  <c r="I56" i="11"/>
  <c r="I58" i="11"/>
  <c r="E64" i="9"/>
  <c r="E70" i="9" s="1"/>
  <c r="I70" i="11"/>
  <c r="F37" i="11"/>
  <c r="F19" i="11" s="1"/>
  <c r="I46" i="11"/>
  <c r="I68" i="11"/>
  <c r="I53" i="11"/>
  <c r="I57" i="11"/>
  <c r="I43" i="11"/>
  <c r="I50" i="11"/>
  <c r="I40" i="11"/>
  <c r="I45" i="11"/>
  <c r="F41" i="9"/>
  <c r="H34" i="11"/>
  <c r="H57" i="9" s="1"/>
  <c r="J11" i="11"/>
  <c r="B29" i="7"/>
  <c r="H2" i="11"/>
  <c r="G20" i="11"/>
  <c r="H26" i="11"/>
  <c r="H42" i="9" s="1"/>
  <c r="C36" i="5"/>
  <c r="C37" i="5" s="1"/>
  <c r="C56" i="5" s="1"/>
  <c r="C35" i="5"/>
  <c r="C40" i="5" s="1"/>
  <c r="J14" i="11"/>
  <c r="D19" i="5"/>
  <c r="G74" i="9"/>
  <c r="G16" i="11"/>
  <c r="G41" i="9" s="1"/>
  <c r="D8" i="3"/>
  <c r="G10" i="11"/>
  <c r="G35" i="11"/>
  <c r="D8" i="4"/>
  <c r="F22" i="5"/>
  <c r="F11" i="4"/>
  <c r="F17" i="4" s="1"/>
  <c r="I10" i="13"/>
  <c r="F27" i="5" s="1"/>
  <c r="F11" i="3"/>
  <c r="F17" i="3" s="1"/>
  <c r="J31" i="9"/>
  <c r="J32" i="9" s="1"/>
  <c r="J88" i="11"/>
  <c r="I31" i="11"/>
  <c r="J15" i="11"/>
  <c r="J31" i="11" s="1"/>
  <c r="H74" i="11"/>
  <c r="I67" i="11"/>
  <c r="D48" i="5"/>
  <c r="D46" i="5"/>
  <c r="I8" i="11"/>
  <c r="I30" i="11" s="1"/>
  <c r="I6" i="11"/>
  <c r="I22" i="11" s="1"/>
  <c r="I28" i="11" s="1"/>
  <c r="I5" i="11"/>
  <c r="I21" i="11" s="1"/>
  <c r="I27" i="11" s="1"/>
  <c r="I7" i="11"/>
  <c r="I29" i="11" s="1"/>
  <c r="J3" i="11"/>
  <c r="J69" i="11" s="1"/>
  <c r="I9" i="11"/>
  <c r="I25" i="11" s="1"/>
  <c r="I72" i="11"/>
  <c r="J72" i="11" s="1"/>
  <c r="F61" i="9"/>
  <c r="F46" i="9"/>
  <c r="H60" i="11"/>
  <c r="I55" i="11"/>
  <c r="H66" i="11"/>
  <c r="I61" i="11"/>
  <c r="I41" i="11"/>
  <c r="J41" i="11" s="1"/>
  <c r="I52" i="11"/>
  <c r="I48" i="11"/>
  <c r="H54" i="11"/>
  <c r="I22" i="9"/>
  <c r="J15" i="9"/>
  <c r="J22" i="9" s="1"/>
  <c r="I42" i="11"/>
  <c r="I62" i="11"/>
  <c r="I18" i="9"/>
  <c r="I49" i="11"/>
  <c r="I44" i="11"/>
  <c r="J44" i="11" s="1"/>
  <c r="I59" i="11"/>
  <c r="I73" i="11"/>
  <c r="E80" i="11" l="1"/>
  <c r="E18" i="11" s="1"/>
  <c r="B21" i="5"/>
  <c r="B24" i="5" s="1"/>
  <c r="B63" i="5" s="1"/>
  <c r="B10" i="3"/>
  <c r="B12" i="3" s="1"/>
  <c r="B14" i="3" s="1"/>
  <c r="B10" i="4"/>
  <c r="B12" i="4" s="1"/>
  <c r="B14" i="4" s="1"/>
  <c r="J49" i="11"/>
  <c r="J57" i="11"/>
  <c r="J46" i="11"/>
  <c r="J52" i="11"/>
  <c r="G37" i="11"/>
  <c r="G19" i="11" s="1"/>
  <c r="F62" i="9"/>
  <c r="F38" i="11"/>
  <c r="J58" i="11"/>
  <c r="F39" i="11"/>
  <c r="F63" i="9"/>
  <c r="J43" i="11"/>
  <c r="J64" i="11"/>
  <c r="I34" i="11"/>
  <c r="I57" i="9" s="1"/>
  <c r="E20" i="5"/>
  <c r="E9" i="4"/>
  <c r="E9" i="3"/>
  <c r="G40" i="9"/>
  <c r="H20" i="11"/>
  <c r="I2" i="11"/>
  <c r="I26" i="11"/>
  <c r="I42" i="9" s="1"/>
  <c r="E71" i="9"/>
  <c r="C64" i="5"/>
  <c r="J51" i="11"/>
  <c r="J68" i="11"/>
  <c r="J67" i="11"/>
  <c r="I74" i="11"/>
  <c r="C69" i="5"/>
  <c r="C73" i="5"/>
  <c r="J65" i="11"/>
  <c r="D34" i="5"/>
  <c r="H10" i="11"/>
  <c r="E8" i="3"/>
  <c r="H16" i="11"/>
  <c r="H41" i="9" s="1"/>
  <c r="E8" i="4"/>
  <c r="H74" i="9"/>
  <c r="E19" i="5"/>
  <c r="H35" i="11"/>
  <c r="I54" i="11"/>
  <c r="J48" i="11"/>
  <c r="J18" i="9"/>
  <c r="J42" i="11"/>
  <c r="J45" i="11"/>
  <c r="J50" i="11"/>
  <c r="G11" i="3"/>
  <c r="G11" i="4"/>
  <c r="G22" i="5"/>
  <c r="H22" i="5" s="1"/>
  <c r="I22" i="5" s="1"/>
  <c r="J22" i="5" s="1"/>
  <c r="K22" i="5" s="1"/>
  <c r="J10" i="13"/>
  <c r="G27" i="5" s="1"/>
  <c r="E46" i="5"/>
  <c r="E48" i="5"/>
  <c r="J56" i="11"/>
  <c r="J71" i="11"/>
  <c r="J73" i="11"/>
  <c r="J70" i="11"/>
  <c r="J53" i="11"/>
  <c r="J40" i="11"/>
  <c r="J9" i="11"/>
  <c r="J25" i="11" s="1"/>
  <c r="J5" i="11"/>
  <c r="J21" i="11" s="1"/>
  <c r="J27" i="11" s="1"/>
  <c r="J7" i="11"/>
  <c r="J29" i="11" s="1"/>
  <c r="J6" i="11"/>
  <c r="J22" i="11" s="1"/>
  <c r="J28" i="11" s="1"/>
  <c r="J8" i="11"/>
  <c r="J30" i="11" s="1"/>
  <c r="J62" i="11"/>
  <c r="I66" i="11"/>
  <c r="J61" i="11"/>
  <c r="J59" i="11"/>
  <c r="I60" i="11"/>
  <c r="J55" i="11"/>
  <c r="J63" i="11"/>
  <c r="G61" i="9"/>
  <c r="G46" i="9"/>
  <c r="E91" i="11" l="1"/>
  <c r="E4" i="13" s="1"/>
  <c r="E8" i="13" s="1"/>
  <c r="E7" i="13" s="1"/>
  <c r="E90" i="11"/>
  <c r="G39" i="11"/>
  <c r="G62" i="9"/>
  <c r="F9" i="4"/>
  <c r="G63" i="9"/>
  <c r="G38" i="11"/>
  <c r="F64" i="9"/>
  <c r="F70" i="9" s="1"/>
  <c r="F71" i="9" s="1"/>
  <c r="F12" i="13" s="1"/>
  <c r="F47" i="11"/>
  <c r="F78" i="11" s="1"/>
  <c r="C21" i="5" s="1"/>
  <c r="C24" i="5" s="1"/>
  <c r="C63" i="5" s="1"/>
  <c r="H37" i="11"/>
  <c r="J34" i="11"/>
  <c r="J57" i="9" s="1"/>
  <c r="F20" i="5"/>
  <c r="F9" i="3"/>
  <c r="I20" i="11"/>
  <c r="J2" i="11"/>
  <c r="J20" i="11" s="1"/>
  <c r="J26" i="11"/>
  <c r="J42" i="9" s="1"/>
  <c r="D36" i="5"/>
  <c r="D37" i="5" s="1"/>
  <c r="D35" i="5"/>
  <c r="D40" i="5" s="1"/>
  <c r="D64" i="5" s="1"/>
  <c r="J74" i="11"/>
  <c r="J60" i="11"/>
  <c r="H61" i="9"/>
  <c r="H46" i="9"/>
  <c r="I10" i="11"/>
  <c r="F19" i="5"/>
  <c r="F8" i="4"/>
  <c r="I16" i="11"/>
  <c r="I41" i="9" s="1"/>
  <c r="I74" i="9"/>
  <c r="F8" i="3"/>
  <c r="I35" i="11"/>
  <c r="E12" i="13"/>
  <c r="B16" i="4"/>
  <c r="B26" i="5"/>
  <c r="B16" i="3"/>
  <c r="H11" i="3"/>
  <c r="G17" i="3"/>
  <c r="J54" i="11"/>
  <c r="H40" i="9"/>
  <c r="F48" i="5"/>
  <c r="F46" i="5"/>
  <c r="J66" i="11"/>
  <c r="H11" i="4"/>
  <c r="G17" i="4"/>
  <c r="E34" i="5" l="1"/>
  <c r="E6" i="13"/>
  <c r="E9" i="13" s="1"/>
  <c r="E11" i="13" s="1"/>
  <c r="E14" i="13" s="1"/>
  <c r="G47" i="11"/>
  <c r="G78" i="11" s="1"/>
  <c r="D10" i="4" s="1"/>
  <c r="D12" i="4" s="1"/>
  <c r="D14" i="4" s="1"/>
  <c r="E94" i="11"/>
  <c r="E100" i="11" s="1"/>
  <c r="B24" i="4" s="1"/>
  <c r="G64" i="9"/>
  <c r="G70" i="9" s="1"/>
  <c r="G71" i="9" s="1"/>
  <c r="D26" i="5" s="1"/>
  <c r="H62" i="9"/>
  <c r="C16" i="4"/>
  <c r="C16" i="3"/>
  <c r="H19" i="11"/>
  <c r="I37" i="11" s="1"/>
  <c r="C26" i="5"/>
  <c r="H39" i="11"/>
  <c r="C10" i="4"/>
  <c r="C12" i="4" s="1"/>
  <c r="C14" i="4" s="1"/>
  <c r="G20" i="5"/>
  <c r="H20" i="5" s="1"/>
  <c r="I20" i="5" s="1"/>
  <c r="J20" i="5" s="1"/>
  <c r="K20" i="5" s="1"/>
  <c r="G9" i="4"/>
  <c r="H9" i="4" s="1"/>
  <c r="G9" i="3"/>
  <c r="H9" i="3" s="1"/>
  <c r="F17" i="11"/>
  <c r="F80" i="11"/>
  <c r="F18" i="11" s="1"/>
  <c r="C10" i="3"/>
  <c r="C12" i="3" s="1"/>
  <c r="C14" i="3" s="1"/>
  <c r="H38" i="11"/>
  <c r="H63" i="9"/>
  <c r="I40" i="9"/>
  <c r="B15" i="4"/>
  <c r="B18" i="4" s="1"/>
  <c r="B20" i="4" s="1"/>
  <c r="B15" i="3"/>
  <c r="B18" i="3" s="1"/>
  <c r="B20" i="3" s="1"/>
  <c r="E35" i="5"/>
  <c r="G46" i="5"/>
  <c r="G48" i="5"/>
  <c r="I61" i="9"/>
  <c r="I46" i="9"/>
  <c r="D73" i="5"/>
  <c r="D69" i="5"/>
  <c r="D56" i="5"/>
  <c r="G19" i="5"/>
  <c r="J10" i="11"/>
  <c r="J16" i="11"/>
  <c r="J41" i="9" s="1"/>
  <c r="J74" i="9"/>
  <c r="G8" i="4"/>
  <c r="G8" i="3"/>
  <c r="J35" i="11"/>
  <c r="E40" i="5" l="1"/>
  <c r="E64" i="5" s="1"/>
  <c r="F34" i="5"/>
  <c r="B25" i="4"/>
  <c r="D10" i="3"/>
  <c r="D12" i="3" s="1"/>
  <c r="D14" i="3" s="1"/>
  <c r="E99" i="11"/>
  <c r="B57" i="5" s="1"/>
  <c r="B58" i="5" s="1"/>
  <c r="E101" i="11"/>
  <c r="E52" i="9" s="1"/>
  <c r="E56" i="9" s="1"/>
  <c r="F93" i="11" s="1"/>
  <c r="C23" i="4" s="1"/>
  <c r="G17" i="11"/>
  <c r="G80" i="11"/>
  <c r="G18" i="11" s="1"/>
  <c r="D21" i="5"/>
  <c r="D24" i="5" s="1"/>
  <c r="D63" i="5" s="1"/>
  <c r="H47" i="11"/>
  <c r="H78" i="11" s="1"/>
  <c r="E10" i="4" s="1"/>
  <c r="E12" i="4" s="1"/>
  <c r="E14" i="4" s="1"/>
  <c r="I39" i="11"/>
  <c r="I19" i="11"/>
  <c r="J37" i="11" s="1"/>
  <c r="I63" i="9"/>
  <c r="G12" i="13"/>
  <c r="D16" i="3"/>
  <c r="I62" i="9"/>
  <c r="D16" i="4"/>
  <c r="H64" i="9"/>
  <c r="H70" i="9" s="1"/>
  <c r="H71" i="9" s="1"/>
  <c r="I38" i="11"/>
  <c r="F90" i="11"/>
  <c r="F91" i="11"/>
  <c r="F4" i="13" s="1"/>
  <c r="F8" i="13" s="1"/>
  <c r="F7" i="13" s="1"/>
  <c r="C15" i="3" s="1"/>
  <c r="C18" i="3" s="1"/>
  <c r="C20" i="3" s="1"/>
  <c r="E36" i="5"/>
  <c r="E37" i="5" s="1"/>
  <c r="E73" i="5" s="1"/>
  <c r="H48" i="5"/>
  <c r="H46" i="5"/>
  <c r="J40" i="9"/>
  <c r="J61" i="9"/>
  <c r="J46" i="9"/>
  <c r="H19" i="5"/>
  <c r="H8" i="3"/>
  <c r="H8" i="4"/>
  <c r="B38" i="5" l="1"/>
  <c r="B39" i="5" s="1"/>
  <c r="B41" i="5" s="1"/>
  <c r="B25" i="5"/>
  <c r="B28" i="5" s="1"/>
  <c r="B67" i="5" s="1"/>
  <c r="B49" i="5"/>
  <c r="E49" i="9"/>
  <c r="E50" i="9" s="1"/>
  <c r="E68" i="9"/>
  <c r="E20" i="9" s="1"/>
  <c r="G91" i="11"/>
  <c r="G4" i="13" s="1"/>
  <c r="G8" i="13" s="1"/>
  <c r="G7" i="13" s="1"/>
  <c r="D15" i="4" s="1"/>
  <c r="D18" i="4" s="1"/>
  <c r="D20" i="4" s="1"/>
  <c r="E21" i="9"/>
  <c r="G90" i="11"/>
  <c r="I64" i="9"/>
  <c r="I70" i="9" s="1"/>
  <c r="I71" i="9" s="1"/>
  <c r="F26" i="5" s="1"/>
  <c r="H17" i="11"/>
  <c r="E21" i="5"/>
  <c r="E24" i="5" s="1"/>
  <c r="E63" i="5" s="1"/>
  <c r="E10" i="3"/>
  <c r="E12" i="3" s="1"/>
  <c r="E14" i="3" s="1"/>
  <c r="H80" i="11"/>
  <c r="H91" i="11" s="1"/>
  <c r="H4" i="13" s="1"/>
  <c r="H6" i="13" s="1"/>
  <c r="I47" i="11"/>
  <c r="I78" i="11" s="1"/>
  <c r="I80" i="11" s="1"/>
  <c r="I18" i="11" s="1"/>
  <c r="J38" i="11"/>
  <c r="J19" i="11"/>
  <c r="F94" i="11"/>
  <c r="F100" i="11" s="1"/>
  <c r="F101" i="11" s="1"/>
  <c r="F52" i="9" s="1"/>
  <c r="C15" i="4"/>
  <c r="C18" i="4" s="1"/>
  <c r="C20" i="4" s="1"/>
  <c r="F6" i="13"/>
  <c r="F9" i="13" s="1"/>
  <c r="F11" i="13" s="1"/>
  <c r="F14" i="13" s="1"/>
  <c r="J62" i="9"/>
  <c r="J63" i="9"/>
  <c r="J39" i="11"/>
  <c r="E56" i="5"/>
  <c r="E69" i="5"/>
  <c r="E16" i="4"/>
  <c r="H12" i="13"/>
  <c r="E26" i="5"/>
  <c r="E16" i="3"/>
  <c r="I19" i="5"/>
  <c r="F36" i="5"/>
  <c r="F37" i="5" s="1"/>
  <c r="F56" i="5" s="1"/>
  <c r="F35" i="5"/>
  <c r="F40" i="5" s="1"/>
  <c r="I48" i="5"/>
  <c r="I46" i="5"/>
  <c r="B71" i="5" l="1"/>
  <c r="B68" i="5"/>
  <c r="B65" i="5"/>
  <c r="B42" i="5"/>
  <c r="B72" i="5"/>
  <c r="B45" i="5"/>
  <c r="B50" i="5" s="1"/>
  <c r="B52" i="5" s="1"/>
  <c r="E69" i="9"/>
  <c r="G6" i="13"/>
  <c r="G9" i="13" s="1"/>
  <c r="G11" i="13" s="1"/>
  <c r="G14" i="13" s="1"/>
  <c r="D15" i="3"/>
  <c r="D18" i="3" s="1"/>
  <c r="D20" i="3" s="1"/>
  <c r="F16" i="3"/>
  <c r="F16" i="4"/>
  <c r="J47" i="11"/>
  <c r="J78" i="11" s="1"/>
  <c r="J17" i="11" s="1"/>
  <c r="I12" i="13"/>
  <c r="F10" i="4"/>
  <c r="F12" i="4" s="1"/>
  <c r="F14" i="4" s="1"/>
  <c r="F21" i="5"/>
  <c r="F24" i="5" s="1"/>
  <c r="F63" i="5" s="1"/>
  <c r="F10" i="3"/>
  <c r="F12" i="3" s="1"/>
  <c r="F14" i="3" s="1"/>
  <c r="I17" i="11"/>
  <c r="H18" i="11"/>
  <c r="H90" i="11"/>
  <c r="J64" i="9"/>
  <c r="J70" i="9" s="1"/>
  <c r="J71" i="9" s="1"/>
  <c r="I90" i="11"/>
  <c r="I91" i="11"/>
  <c r="I4" i="13" s="1"/>
  <c r="I6" i="13" s="1"/>
  <c r="H8" i="13"/>
  <c r="H7" i="13" s="1"/>
  <c r="E15" i="4" s="1"/>
  <c r="E18" i="4" s="1"/>
  <c r="E20" i="4" s="1"/>
  <c r="F56" i="9"/>
  <c r="G93" i="11" s="1"/>
  <c r="F49" i="9"/>
  <c r="F50" i="9" s="1"/>
  <c r="G34" i="5"/>
  <c r="F73" i="5"/>
  <c r="F69" i="5"/>
  <c r="F64" i="5"/>
  <c r="J19" i="5"/>
  <c r="J48" i="5"/>
  <c r="J46" i="5"/>
  <c r="C24" i="4"/>
  <c r="F99" i="11"/>
  <c r="B53" i="5" l="1"/>
  <c r="H9" i="13"/>
  <c r="H11" i="13" s="1"/>
  <c r="H14" i="13" s="1"/>
  <c r="E15" i="3"/>
  <c r="E18" i="3" s="1"/>
  <c r="E20" i="3" s="1"/>
  <c r="G10" i="4"/>
  <c r="H10" i="4" s="1"/>
  <c r="H12" i="4" s="1"/>
  <c r="H14" i="4" s="1"/>
  <c r="G21" i="5"/>
  <c r="H21" i="5" s="1"/>
  <c r="I21" i="5" s="1"/>
  <c r="G10" i="3"/>
  <c r="G12" i="3" s="1"/>
  <c r="G14" i="3" s="1"/>
  <c r="J80" i="11"/>
  <c r="J90" i="11" s="1"/>
  <c r="H16" i="4"/>
  <c r="H16" i="3"/>
  <c r="I8" i="13"/>
  <c r="I7" i="13" s="1"/>
  <c r="F15" i="4" s="1"/>
  <c r="F18" i="4" s="1"/>
  <c r="F20" i="4" s="1"/>
  <c r="C57" i="5"/>
  <c r="C58" i="5" s="1"/>
  <c r="C49" i="5"/>
  <c r="C38" i="5"/>
  <c r="C39" i="5" s="1"/>
  <c r="C41" i="5" s="1"/>
  <c r="C25" i="5"/>
  <c r="C28" i="5" s="1"/>
  <c r="C67" i="5" s="1"/>
  <c r="C25" i="4"/>
  <c r="F21" i="9"/>
  <c r="G36" i="5"/>
  <c r="G37" i="5" s="1"/>
  <c r="G35" i="5"/>
  <c r="G40" i="5" s="1"/>
  <c r="G64" i="5" s="1"/>
  <c r="G26" i="5"/>
  <c r="G16" i="3"/>
  <c r="G16" i="4"/>
  <c r="J12" i="13"/>
  <c r="D23" i="4"/>
  <c r="G94" i="11"/>
  <c r="F68" i="9"/>
  <c r="K19" i="5"/>
  <c r="K48" i="5"/>
  <c r="K46" i="5"/>
  <c r="G12" i="4" l="1"/>
  <c r="G14" i="4" s="1"/>
  <c r="G24" i="5"/>
  <c r="G63" i="5" s="1"/>
  <c r="H24" i="5"/>
  <c r="F15" i="3"/>
  <c r="F18" i="3" s="1"/>
  <c r="F20" i="3" s="1"/>
  <c r="H10" i="3"/>
  <c r="H12" i="3" s="1"/>
  <c r="H14" i="3" s="1"/>
  <c r="I9" i="13"/>
  <c r="I11" i="13" s="1"/>
  <c r="I14" i="13" s="1"/>
  <c r="J18" i="11"/>
  <c r="J91" i="11"/>
  <c r="J4" i="13" s="1"/>
  <c r="J8" i="13" s="1"/>
  <c r="J7" i="13" s="1"/>
  <c r="H34" i="5"/>
  <c r="H36" i="5" s="1"/>
  <c r="H37" i="5" s="1"/>
  <c r="C42" i="5"/>
  <c r="C45" i="5"/>
  <c r="C50" i="5" s="1"/>
  <c r="C52" i="5" s="1"/>
  <c r="C53" i="5" s="1"/>
  <c r="F69" i="9"/>
  <c r="F20" i="9"/>
  <c r="C71" i="5"/>
  <c r="G100" i="11"/>
  <c r="G73" i="5"/>
  <c r="G69" i="5"/>
  <c r="G56" i="5"/>
  <c r="C65" i="5"/>
  <c r="C68" i="5"/>
  <c r="C72" i="5"/>
  <c r="J21" i="5"/>
  <c r="I24" i="5"/>
  <c r="H35" i="5" l="1"/>
  <c r="I34" i="5" s="1"/>
  <c r="H63" i="5"/>
  <c r="J6" i="13"/>
  <c r="J9" i="13" s="1"/>
  <c r="J11" i="13" s="1"/>
  <c r="J14" i="13" s="1"/>
  <c r="A37" i="4"/>
  <c r="A31" i="3"/>
  <c r="H15" i="3"/>
  <c r="H15" i="4"/>
  <c r="H18" i="4" s="1"/>
  <c r="G15" i="3"/>
  <c r="G18" i="3" s="1"/>
  <c r="G20" i="3" s="1"/>
  <c r="G15" i="4"/>
  <c r="G18" i="4" s="1"/>
  <c r="G20" i="4" s="1"/>
  <c r="H39" i="5"/>
  <c r="H69" i="5"/>
  <c r="H56" i="5"/>
  <c r="D24" i="4"/>
  <c r="G99" i="11"/>
  <c r="G101" i="11"/>
  <c r="G52" i="9" s="1"/>
  <c r="K21" i="5"/>
  <c r="K24" i="5" s="1"/>
  <c r="J24" i="5"/>
  <c r="H18" i="3" l="1"/>
  <c r="H19" i="3" s="1"/>
  <c r="H20" i="3" s="1"/>
  <c r="I20" i="3" s="1"/>
  <c r="I24" i="3" s="1"/>
  <c r="I28" i="3" s="1"/>
  <c r="H40" i="5"/>
  <c r="H73" i="5" s="1"/>
  <c r="H64" i="5"/>
  <c r="H19" i="4"/>
  <c r="H24" i="4" s="1"/>
  <c r="D25" i="4"/>
  <c r="D57" i="5"/>
  <c r="D58" i="5" s="1"/>
  <c r="D25" i="5"/>
  <c r="D28" i="5" s="1"/>
  <c r="D67" i="5" s="1"/>
  <c r="D49" i="5"/>
  <c r="D38" i="5"/>
  <c r="D39" i="5" s="1"/>
  <c r="D41" i="5" s="1"/>
  <c r="I36" i="5"/>
  <c r="I37" i="5" s="1"/>
  <c r="I63" i="5"/>
  <c r="I35" i="5"/>
  <c r="G56" i="9"/>
  <c r="H93" i="11" s="1"/>
  <c r="G49" i="9"/>
  <c r="G50" i="9" s="1"/>
  <c r="B5" i="8"/>
  <c r="B9" i="8" s="1"/>
  <c r="H20" i="4" l="1"/>
  <c r="I20" i="4" s="1"/>
  <c r="I29" i="4" s="1"/>
  <c r="H41" i="5"/>
  <c r="H25" i="4"/>
  <c r="I39" i="5"/>
  <c r="I40" i="5"/>
  <c r="I73" i="5" s="1"/>
  <c r="D42" i="5"/>
  <c r="D45" i="5"/>
  <c r="D50" i="5" s="1"/>
  <c r="D52" i="5" s="1"/>
  <c r="G21" i="9"/>
  <c r="G68" i="9"/>
  <c r="E23" i="4"/>
  <c r="H94" i="11"/>
  <c r="I69" i="5"/>
  <c r="I56" i="5"/>
  <c r="D71" i="5"/>
  <c r="D65" i="5"/>
  <c r="D72" i="5"/>
  <c r="D68" i="5"/>
  <c r="J34" i="5"/>
  <c r="J16" i="13" l="1"/>
  <c r="I16" i="13"/>
  <c r="G16" i="13"/>
  <c r="F16" i="13"/>
  <c r="E16" i="13"/>
  <c r="H16" i="13"/>
  <c r="B7" i="8"/>
  <c r="B8" i="8" s="1"/>
  <c r="I41" i="5"/>
  <c r="I64" i="5"/>
  <c r="G69" i="9"/>
  <c r="G20" i="9"/>
  <c r="H100" i="11"/>
  <c r="H101" i="11" s="1"/>
  <c r="H52" i="9" s="1"/>
  <c r="J63" i="5"/>
  <c r="J36" i="5"/>
  <c r="J37" i="5" s="1"/>
  <c r="J35" i="5"/>
  <c r="D53" i="5"/>
  <c r="A16" i="13" l="1"/>
  <c r="J40" i="5"/>
  <c r="J64" i="5" s="1"/>
  <c r="J39" i="5"/>
  <c r="A38" i="4"/>
  <c r="A32" i="3"/>
  <c r="H49" i="9"/>
  <c r="H50" i="9" s="1"/>
  <c r="H56" i="9"/>
  <c r="I93" i="11" s="1"/>
  <c r="J69" i="5"/>
  <c r="J56" i="5"/>
  <c r="K34" i="5"/>
  <c r="H99" i="11"/>
  <c r="E24" i="4"/>
  <c r="J73" i="5" l="1"/>
  <c r="J41" i="5"/>
  <c r="E25" i="4"/>
  <c r="E25" i="5"/>
  <c r="E28" i="5" s="1"/>
  <c r="E67" i="5" s="1"/>
  <c r="E38" i="5"/>
  <c r="E39" i="5" s="1"/>
  <c r="E41" i="5" s="1"/>
  <c r="E57" i="5"/>
  <c r="E58" i="5" s="1"/>
  <c r="E49" i="5"/>
  <c r="H21" i="9"/>
  <c r="K63" i="5"/>
  <c r="K36" i="5"/>
  <c r="K37" i="5" s="1"/>
  <c r="K35" i="5"/>
  <c r="F23" i="4"/>
  <c r="I94" i="11"/>
  <c r="H68" i="9"/>
  <c r="K40" i="5" l="1"/>
  <c r="K64" i="5" s="1"/>
  <c r="K39" i="5"/>
  <c r="E42" i="5"/>
  <c r="E45" i="5"/>
  <c r="E50" i="5" s="1"/>
  <c r="E52" i="5" s="1"/>
  <c r="H69" i="9"/>
  <c r="H20" i="9"/>
  <c r="E72" i="5"/>
  <c r="E68" i="5"/>
  <c r="E65" i="5"/>
  <c r="K69" i="5"/>
  <c r="K56" i="5"/>
  <c r="I100" i="11"/>
  <c r="I101" i="11" s="1"/>
  <c r="I52" i="9" s="1"/>
  <c r="E71" i="5"/>
  <c r="K73" i="5" l="1"/>
  <c r="K41" i="5"/>
  <c r="I49" i="9"/>
  <c r="I50" i="9" s="1"/>
  <c r="I56" i="9"/>
  <c r="J93" i="11" s="1"/>
  <c r="F24" i="4"/>
  <c r="G11" i="14" s="1"/>
  <c r="I99" i="11"/>
  <c r="E53" i="5"/>
  <c r="F25" i="5" l="1"/>
  <c r="F28" i="5" s="1"/>
  <c r="F67" i="5" s="1"/>
  <c r="F57" i="5"/>
  <c r="F58" i="5" s="1"/>
  <c r="F49" i="5"/>
  <c r="F38" i="5"/>
  <c r="F39" i="5" s="1"/>
  <c r="F41" i="5" s="1"/>
  <c r="F25" i="4"/>
  <c r="I21" i="9"/>
  <c r="G23" i="4"/>
  <c r="J94" i="11"/>
  <c r="I68" i="9"/>
  <c r="F42" i="5" l="1"/>
  <c r="F45" i="5"/>
  <c r="F50" i="5" s="1"/>
  <c r="F52" i="5" s="1"/>
  <c r="I69" i="9"/>
  <c r="I20" i="9"/>
  <c r="J100" i="11"/>
  <c r="J101" i="11" s="1"/>
  <c r="J52" i="9" s="1"/>
  <c r="F65" i="5"/>
  <c r="F72" i="5"/>
  <c r="F68" i="5"/>
  <c r="F71" i="5"/>
  <c r="F53" i="5" l="1"/>
  <c r="J49" i="9"/>
  <c r="J50" i="9" s="1"/>
  <c r="J56" i="9"/>
  <c r="J68" i="9" s="1"/>
  <c r="J20" i="9" s="1"/>
  <c r="J99" i="11"/>
  <c r="G24" i="4"/>
  <c r="G25" i="4" s="1"/>
  <c r="I25" i="4" s="1"/>
  <c r="H25" i="5" l="1"/>
  <c r="H28" i="5" s="1"/>
  <c r="G49" i="5"/>
  <c r="H49" i="5"/>
  <c r="I49" i="5"/>
  <c r="J49" i="5"/>
  <c r="K49" i="5"/>
  <c r="I25" i="5"/>
  <c r="I28" i="5" s="1"/>
  <c r="J25" i="5"/>
  <c r="J28" i="5" s="1"/>
  <c r="J57" i="5"/>
  <c r="J58" i="5" s="1"/>
  <c r="H57" i="5"/>
  <c r="H58" i="5" s="1"/>
  <c r="I57" i="5"/>
  <c r="I58" i="5" s="1"/>
  <c r="K57" i="5"/>
  <c r="K58" i="5" s="1"/>
  <c r="G57" i="5"/>
  <c r="G58" i="5" s="1"/>
  <c r="K25" i="5"/>
  <c r="K28" i="5" s="1"/>
  <c r="G25" i="5"/>
  <c r="G28" i="5" s="1"/>
  <c r="G67" i="5" s="1"/>
  <c r="G38" i="5"/>
  <c r="G39" i="5" s="1"/>
  <c r="G41" i="5" s="1"/>
  <c r="I30" i="4"/>
  <c r="J21" i="9"/>
  <c r="J69" i="9"/>
  <c r="I34" i="4" l="1"/>
  <c r="G10" i="14"/>
  <c r="H67" i="5"/>
  <c r="H45" i="5"/>
  <c r="H50" i="5" s="1"/>
  <c r="H42" i="5"/>
  <c r="J67" i="5"/>
  <c r="J45" i="5"/>
  <c r="J50" i="5" s="1"/>
  <c r="J42" i="5"/>
  <c r="K67" i="5"/>
  <c r="K45" i="5"/>
  <c r="K50" i="5" s="1"/>
  <c r="K42" i="5"/>
  <c r="I67" i="5"/>
  <c r="I45" i="5"/>
  <c r="I50" i="5" s="1"/>
  <c r="I42" i="5"/>
  <c r="G42" i="5"/>
  <c r="G45" i="5"/>
  <c r="G50" i="5" s="1"/>
  <c r="G52" i="5" s="1"/>
  <c r="G71" i="5"/>
  <c r="H68" i="5"/>
  <c r="H65" i="5"/>
  <c r="H72" i="5"/>
  <c r="J65" i="5"/>
  <c r="J72" i="5"/>
  <c r="J68" i="5"/>
  <c r="J71" i="5"/>
  <c r="G65" i="5"/>
  <c r="G72" i="5"/>
  <c r="G68" i="5"/>
  <c r="K71" i="5"/>
  <c r="I71" i="5"/>
  <c r="I68" i="5"/>
  <c r="I72" i="5"/>
  <c r="I65" i="5"/>
  <c r="H71" i="5"/>
  <c r="K65" i="5"/>
  <c r="K72" i="5"/>
  <c r="K68" i="5"/>
  <c r="H52" i="5" l="1"/>
  <c r="I52" i="5" s="1"/>
  <c r="J52" i="5" s="1"/>
  <c r="K52" i="5" s="1"/>
  <c r="G27" i="14"/>
  <c r="G15" i="14"/>
  <c r="G12" i="14"/>
  <c r="G53" i="5"/>
  <c r="G13" i="14" l="1"/>
  <c r="C39" i="14"/>
  <c r="E39" i="14"/>
  <c r="D37" i="14"/>
  <c r="C38" i="14"/>
  <c r="G40" i="14"/>
  <c r="D38" i="14"/>
  <c r="D40" i="14"/>
  <c r="C37" i="14"/>
  <c r="E38" i="14"/>
  <c r="E40" i="14"/>
  <c r="G38" i="14"/>
  <c r="D41" i="14"/>
  <c r="E37" i="14"/>
  <c r="F40" i="14"/>
  <c r="C41" i="14"/>
  <c r="G39" i="14"/>
  <c r="F41" i="14"/>
  <c r="C40" i="14"/>
  <c r="F39" i="14"/>
  <c r="G37" i="14"/>
  <c r="E41" i="14"/>
  <c r="G19" i="14"/>
  <c r="F38" i="14"/>
  <c r="D39" i="14"/>
  <c r="F37" i="14"/>
  <c r="G41" i="14"/>
  <c r="G25" i="14"/>
  <c r="G30" i="14" s="1"/>
  <c r="G16" i="14"/>
  <c r="G17" i="14" s="1"/>
  <c r="G20" i="14" s="1"/>
  <c r="H53" i="5"/>
  <c r="G21" i="14" l="1"/>
  <c r="I53" i="5"/>
  <c r="G32" i="14" l="1"/>
  <c r="G28" i="14"/>
  <c r="G29" i="14" s="1"/>
  <c r="G31" i="14" s="1"/>
  <c r="J53" i="5"/>
  <c r="K5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Jeroen de Heer | ValuePro</author>
    <author>hmeijer</author>
    <author>MFAS</author>
    <author>Chris Denneboom | ValuePro</author>
    <author xml:space="preserve"> </author>
  </authors>
  <commentList>
    <comment ref="A5" authorId="0" shapeId="0" xr:uid="{00000000-0006-0000-0100-000001000000}">
      <text>
        <r>
          <rPr>
            <sz val="8"/>
            <color indexed="81"/>
            <rFont val="Tahoma"/>
            <family val="2"/>
          </rPr>
          <t>Indien er meerdere BTW-tarieven van toepassing zijn, dan hier een gemiddelde percentage ingeven.</t>
        </r>
      </text>
    </comment>
    <comment ref="A9" authorId="1" shapeId="0" xr:uid="{00000000-0006-0000-0100-000002000000}">
      <text>
        <r>
          <rPr>
            <sz val="8"/>
            <color indexed="81"/>
            <rFont val="Tahoma"/>
            <family val="2"/>
          </rPr>
          <t>Opheffing daarvan wordt geacht onmiddellijk na acquisitie plaats te vinden. Het effect ziet u daarom niet terug in onderstaand overzicht.</t>
        </r>
        <r>
          <rPr>
            <sz val="9"/>
            <color indexed="81"/>
            <rFont val="Tahoma"/>
            <family val="2"/>
          </rPr>
          <t xml:space="preserve">
</t>
        </r>
      </text>
    </comment>
    <comment ref="A10" authorId="2" shapeId="0" xr:uid="{00000000-0006-0000-0100-000003000000}">
      <text>
        <r>
          <rPr>
            <sz val="8"/>
            <color indexed="81"/>
            <rFont val="Tahoma"/>
            <family val="2"/>
          </rPr>
          <t>hieronder wordt verstaan  de rentedragende financiering.  Leverancierskrediet valt hier niet onder dat betreft netto werkkapitaal of operationele financiering</t>
        </r>
        <r>
          <rPr>
            <sz val="9"/>
            <color indexed="81"/>
            <rFont val="Tahoma"/>
            <family val="2"/>
          </rPr>
          <t>.</t>
        </r>
      </text>
    </comment>
    <comment ref="A11" authorId="3" shapeId="0" xr:uid="{00000000-0006-0000-0100-000004000000}">
      <text>
        <r>
          <rPr>
            <b/>
            <sz val="9"/>
            <color indexed="81"/>
            <rFont val="Tahoma"/>
            <family val="2"/>
          </rPr>
          <t>Chris Denneboom | ValuePro:</t>
        </r>
        <r>
          <rPr>
            <sz val="9"/>
            <color indexed="81"/>
            <rFont val="Tahoma"/>
            <family val="2"/>
          </rPr>
          <t xml:space="preserve">
Hier vermeldt u zaken die als rentedragend vreemd vermogen beschouwd moeten worden maar niet zo op de balans staan. Denk bijvoorbeeld aan voorzieningen of een VpB schuld in het werkkapitaal.</t>
        </r>
      </text>
    </comment>
    <comment ref="A12" authorId="4" shapeId="0" xr:uid="{00000000-0006-0000-0100-000005000000}">
      <text>
        <r>
          <rPr>
            <sz val="8"/>
            <color indexed="81"/>
            <rFont val="Tahoma"/>
            <family val="2"/>
          </rPr>
          <t xml:space="preserve">Bijvoorbeeld vorderingen die geen onderdeel zijn van de activiteiten. Bij een pand als zelfstandige vruchtdrager moet u een fictieve huur in de kosten opnemen.
</t>
        </r>
      </text>
    </comment>
    <comment ref="A49" authorId="4" shapeId="0" xr:uid="{00000000-0006-0000-0100-000006000000}">
      <text>
        <r>
          <rPr>
            <sz val="8"/>
            <color indexed="81"/>
            <rFont val="Tahoma"/>
            <family val="2"/>
          </rPr>
          <t>Bijvoorbeeld liquiditeiten. Bij een pand als zelfstandige vruchtdrager moet u een fictieve huur in de kosten opnemen.</t>
        </r>
        <r>
          <rPr>
            <sz val="8"/>
            <color indexed="81"/>
            <rFont val="Tahoma"/>
            <family val="2"/>
          </rPr>
          <t xml:space="preserve">
</t>
        </r>
      </text>
    </comment>
    <comment ref="A55" authorId="2" shapeId="0" xr:uid="{00000000-0006-0000-0100-000007000000}">
      <text>
        <r>
          <rPr>
            <sz val="8"/>
            <color indexed="81"/>
            <rFont val="Tahoma"/>
            <family val="2"/>
          </rPr>
          <t>Meestal wordt hier de langlopende financiering verstaan. Hierbij hoort o.m. niet het leverancierskrediet.
Dat betreft operationele financiering</t>
        </r>
        <r>
          <rPr>
            <sz val="9"/>
            <color indexed="81"/>
            <rFont val="Tahoma"/>
            <family val="2"/>
          </rPr>
          <t>.</t>
        </r>
      </text>
    </comment>
    <comment ref="A71" authorId="2" shapeId="0" xr:uid="{00000000-0006-0000-0100-000008000000}">
      <text>
        <r>
          <rPr>
            <sz val="8"/>
            <color indexed="81"/>
            <rFont val="Tahoma"/>
            <family val="2"/>
          </rPr>
          <t>Toename werkkapitaal is cash outflow, daarom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hmeijer</author>
    <author>MFAS</author>
  </authors>
  <commentList>
    <comment ref="A56" authorId="0" shapeId="0" xr:uid="{00000000-0006-0000-0400-000004000000}">
      <text>
        <r>
          <rPr>
            <sz val="8"/>
            <color indexed="81"/>
            <rFont val="Tahoma"/>
            <family val="2"/>
          </rPr>
          <t>In geval van gedeeltelijke financiering met vreemd vermogen dient de rendementseis voor het eigen vermogen hoger te zijn.</t>
        </r>
        <r>
          <rPr>
            <sz val="9"/>
            <color indexed="81"/>
            <rFont val="Tahoma"/>
            <family val="2"/>
          </rPr>
          <t xml:space="preserve">
</t>
        </r>
      </text>
    </comment>
    <comment ref="A59" authorId="1" shapeId="0" xr:uid="{00000000-0006-0000-0400-000005000000}">
      <text>
        <r>
          <rPr>
            <sz val="8"/>
            <color indexed="81"/>
            <rFont val="Tahoma"/>
            <family val="2"/>
          </rPr>
          <t>Tax shield restperiode is  verwerkt door cashflows contant te maken tegen wacc (i.p.v. tegen keu).</t>
        </r>
        <r>
          <rPr>
            <sz val="9"/>
            <color indexed="81"/>
            <rFont val="Tahoma"/>
            <family val="2"/>
          </rPr>
          <t xml:space="preserve">
</t>
        </r>
      </text>
    </comment>
    <comment ref="A61" authorId="1" shapeId="0" xr:uid="{00000000-0006-0000-0400-000006000000}">
      <text>
        <r>
          <rPr>
            <sz val="8"/>
            <color indexed="81"/>
            <rFont val="Tahoma"/>
            <family val="2"/>
          </rPr>
          <t>Deze factor wordt zowel voor de DCFM als voor de APV gebruikt.</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MFAS</author>
    <author>hmeijer</author>
  </authors>
  <commentList>
    <comment ref="A4" authorId="0" shapeId="0" xr:uid="{05D50D98-93C6-4D8C-BBDA-36B5FDFBA5CF}">
      <text>
        <r>
          <rPr>
            <sz val="8"/>
            <color indexed="81"/>
            <rFont val="Tahoma"/>
            <family val="2"/>
          </rPr>
          <t>Neem de gemiddelde verwachte kapitaalmarktrente over een wat langere periode. Deze ligt ongeveer op 3,5%: reële rente 1,5% en inflatie 2,0%.</t>
        </r>
      </text>
    </comment>
    <comment ref="A5" authorId="1" shapeId="0" xr:uid="{A2A5D248-FDA1-402A-99AF-C2E53F7620EE}">
      <text>
        <r>
          <rPr>
            <sz val="8"/>
            <color indexed="81"/>
            <rFont val="Tahoma"/>
            <family val="2"/>
          </rPr>
          <t>Indicatief kan de risicovrij-component plus algemene risico-opslag worden gesteld op het gemiddelde rendement van de hoofdfondsen van de
beurs (AEX). Dit rendement is de gemiddelde  K/W gedeeld door 1.</t>
        </r>
        <r>
          <rPr>
            <sz val="9"/>
            <color indexed="81"/>
            <rFont val="Tahoma"/>
            <family val="2"/>
          </rPr>
          <t xml:space="preserve">
</t>
        </r>
      </text>
    </comment>
    <comment ref="A6" authorId="0" shapeId="0" xr:uid="{3FFCFD93-6137-49C1-8348-DB31F7654083}">
      <text>
        <r>
          <rPr>
            <sz val="8"/>
            <color indexed="81"/>
            <rFont val="Tahoma"/>
            <family val="2"/>
          </rPr>
          <t>Factor i.v.m. kosten verkoop en dunne markt voor MKB-bedrijven.</t>
        </r>
        <r>
          <rPr>
            <sz val="9"/>
            <color indexed="81"/>
            <rFont val="Tahoma"/>
            <family val="2"/>
          </rPr>
          <t xml:space="preserve">
</t>
        </r>
      </text>
    </comment>
    <comment ref="A29" authorId="1" shapeId="0" xr:uid="{1EE7460F-2F72-4D38-8710-73460B356CE7}">
      <text>
        <r>
          <rPr>
            <sz val="8"/>
            <color indexed="81"/>
            <rFont val="Tahoma"/>
            <family val="2"/>
          </rPr>
          <t>In geval van gedeeltelijke financiering met vreemd vermogen dient de rendementseis voor het eigen vermogen hoger te zijn.</t>
        </r>
        <r>
          <rPr>
            <sz val="9"/>
            <color indexed="81"/>
            <rFont val="Tahoma"/>
            <family val="2"/>
          </rPr>
          <t xml:space="preserve">
</t>
        </r>
      </text>
    </comment>
    <comment ref="A32" authorId="0" shapeId="0" xr:uid="{F18A45AE-1705-4A6E-B9B4-2B08163D204F}">
      <text>
        <r>
          <rPr>
            <sz val="8"/>
            <color indexed="81"/>
            <rFont val="Tahoma"/>
            <family val="2"/>
          </rPr>
          <t>Tax shield restperiode is  verwerkt door cashflows contant te maken tegen wacc (i.p.v. tegen keu).</t>
        </r>
        <r>
          <rPr>
            <sz val="9"/>
            <color indexed="81"/>
            <rFont val="Tahoma"/>
            <family val="2"/>
          </rPr>
          <t xml:space="preserve">
</t>
        </r>
      </text>
    </comment>
    <comment ref="A34" authorId="0" shapeId="0" xr:uid="{97A4523F-6D6D-442C-8B19-19225B092777}">
      <text>
        <r>
          <rPr>
            <sz val="8"/>
            <color indexed="81"/>
            <rFont val="Tahoma"/>
            <family val="2"/>
          </rPr>
          <t>Deze factor wordt zowel voor de DCFM als voor de APV gebruikt.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MFAS</author>
  </authors>
  <commentList>
    <comment ref="A22" authorId="0" shapeId="0" xr:uid="{00000000-0006-0000-0700-000001000000}">
      <text>
        <r>
          <rPr>
            <sz val="8"/>
            <color indexed="81"/>
            <rFont val="Tahoma"/>
            <family val="2"/>
          </rPr>
          <t>De contante waarde tegen keu van de belastingbesparing door de renteaftrek over het vreemde vermogen.</t>
        </r>
        <r>
          <rPr>
            <sz val="9"/>
            <color indexed="81"/>
            <rFont val="Tahoma"/>
            <family val="2"/>
          </rPr>
          <t xml:space="preserve">
</t>
        </r>
      </text>
    </comment>
    <comment ref="A25" authorId="0" shapeId="0" xr:uid="{00000000-0006-0000-0700-000002000000}">
      <text>
        <r>
          <rPr>
            <sz val="8"/>
            <color indexed="81"/>
            <rFont val="Tahoma"/>
            <family val="2"/>
          </rPr>
          <t>De tax shield voor de restperiode is verwerkt door de cashflow van de restperiode contant te maken tegen de WACC i.p.v. tegen de keu.</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hmeijer</author>
  </authors>
  <commentList>
    <comment ref="A4" authorId="0" shapeId="0" xr:uid="{00000000-0006-0000-0800-000001000000}">
      <text>
        <r>
          <rPr>
            <sz val="8"/>
            <color indexed="81"/>
            <rFont val="Tahoma"/>
            <family val="2"/>
          </rPr>
          <t>Opheffing daarvan wordt geacht onmiddellijk na acquisitie plaats te vinden. Het effect ziet u daarom niet terug in onderstaand overzicht.</t>
        </r>
        <r>
          <rPr>
            <sz val="9"/>
            <color indexed="81"/>
            <rFont val="Tahoma"/>
            <family val="2"/>
          </rPr>
          <t xml:space="preserve">
</t>
        </r>
      </text>
    </comment>
    <comment ref="A63" authorId="0" shapeId="0" xr:uid="{00000000-0006-0000-0800-000002000000}">
      <text>
        <r>
          <rPr>
            <sz val="8"/>
            <color indexed="81"/>
            <rFont val="Tahoma"/>
            <family val="2"/>
          </rPr>
          <t>Vanwege het mezzanine-karakter is financiering verkoper buiten beschouwen gelaten.</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Chris Denneboom | ValuePro</author>
  </authors>
  <commentList>
    <comment ref="D10" authorId="0" shapeId="0" xr:uid="{00000000-0006-0000-0900-000001000000}">
      <text>
        <r>
          <rPr>
            <b/>
            <sz val="9"/>
            <color indexed="81"/>
            <rFont val="Tahoma"/>
            <family val="2"/>
          </rPr>
          <t>Chris Denneboom | ValuePro:</t>
        </r>
        <r>
          <rPr>
            <sz val="9"/>
            <color indexed="81"/>
            <rFont val="Tahoma"/>
            <family val="2"/>
          </rPr>
          <t xml:space="preserve">
Wacc van toepassing op het OG invullen
</t>
        </r>
      </text>
    </comment>
  </commentList>
</comments>
</file>

<file path=xl/sharedStrings.xml><?xml version="1.0" encoding="utf-8"?>
<sst xmlns="http://schemas.openxmlformats.org/spreadsheetml/2006/main" count="633" uniqueCount="534">
  <si>
    <t>Uitleg model waardering</t>
  </si>
  <si>
    <t xml:space="preserve">Voor meer rekenmodellen t.b.v. fiscale kwesties en financiele planning zie </t>
  </si>
  <si>
    <t xml:space="preserve">www.mfas.nl </t>
  </si>
  <si>
    <t>Voor meer informatie over bedrijfswaardering zie</t>
  </si>
  <si>
    <t>www.valuepro.nl</t>
  </si>
  <si>
    <t>Start</t>
  </si>
  <si>
    <t>De eerste stap in dit model is het invoeren van het laatste historische jaar, het jaar van het</t>
  </si>
  <si>
    <t>waarderingsmoment; zie bovenaan in het tabblad "Invoer algemeen en balans". Daarbij geeft u ook</t>
  </si>
  <si>
    <t>aan of de invoer in euro's is of in duizendtallen, zie keuze bij Notatie bedragen.</t>
  </si>
  <si>
    <t>Vervolgens kunt u  verder met de onderstaande onderdelen.</t>
  </si>
  <si>
    <t>Invoer</t>
  </si>
  <si>
    <t>Wij adviseren de invoer in duizendtallen te doen. De waarde wordt dan uiteraard ook in duizendtallen</t>
  </si>
  <si>
    <t xml:space="preserve">berekend. In de tabbladen 'invoer algemeen en balans' en 'Invoer exploitatie' voert u de historische </t>
  </si>
  <si>
    <t xml:space="preserve">jaarrekeningen in en geeft u de waarden voor de prognose balans en exploitatieprognose is. De vrije </t>
  </si>
  <si>
    <t xml:space="preserve">kasstroom of free cashflow wordt op basis van uw invoer automatisch berekend. Hiervoor zijn allereerst </t>
  </si>
  <si>
    <t xml:space="preserve">de omzet en de kosten van belang. </t>
  </si>
  <si>
    <t>Speciale aandacht vereisen de eventuele mutaties in het werkkapitaal</t>
  </si>
  <si>
    <t>(liquiditeit + debiteuren + voorraad - crediteuren). Het werkkapitaal neemt normaliter toe als de omzet</t>
  </si>
  <si>
    <t xml:space="preserve">stijgt. Dit vergt een extra vermogensbeslag (cash out in de free cashflow). </t>
  </si>
  <si>
    <t>Het werkkapitaal kan positief worden beïnvloed door de debiteurentermijn te verkorten en de betaal-</t>
  </si>
  <si>
    <t>termijn voor de crediteuren te verlengen. Dit leidt tot een hogere te berekenen waarde.</t>
  </si>
  <si>
    <r>
      <rPr>
        <u/>
        <sz val="8"/>
        <rFont val="Arial"/>
        <family val="2"/>
      </rPr>
      <t>Invoer balans:</t>
    </r>
    <r>
      <rPr>
        <sz val="8"/>
        <rFont val="Arial"/>
        <family val="2"/>
      </rPr>
      <t xml:space="preserve"> debiteuren, voorraad en crediteuren worden gestuurd vanuit de kengetallen in de prognose. </t>
    </r>
  </si>
  <si>
    <t xml:space="preserve">Een aanpassing van de waarden dient in de kengetallen gecorrigeerd te worden. De overige waarden </t>
  </si>
  <si>
    <t xml:space="preserve">kunnen handmatig ingevoerd worden. De investeringen in vaste activa kunt u in de balansprognose ingeven. </t>
  </si>
  <si>
    <t xml:space="preserve">Daarvoor kunt aan de linkerzijde van het tabblad de corresponderende regel openklappen (klik op +). </t>
  </si>
  <si>
    <t xml:space="preserve">De afschrijvingen dient u zelf uit te rekenen en in de exploitatieprognose in te voeren. Houdt voor alle </t>
  </si>
  <si>
    <t xml:space="preserve">overige activa en passiva rekening met dat deze zich logisch dienen te ontwikkelen in lijn met de </t>
  </si>
  <si>
    <t>exploitatieprognose. De prognose balans zal altijd automatisch in evenwicht worden gebracht door een</t>
  </si>
  <si>
    <t>overschot aan liquide middelen of een vermogensbehoefte.</t>
  </si>
  <si>
    <t xml:space="preserve">prognose gestuurd door het kengetal arbeidsquote van het voorgaande jaar (hierbij worden de lonen en </t>
  </si>
  <si>
    <t xml:space="preserve">salarisen en inhuur derden als één beschouwd). Aanpassingen in de prognose kunnen gemaakt worden door </t>
  </si>
  <si>
    <t xml:space="preserve">de  salariskosten in de prognose te overschrijven. Huisvestingskosten worden geindexeerd op basis van het </t>
  </si>
  <si>
    <t xml:space="preserve">laatst gerealiseerde jaar. Verkoopkosten wordt het gemiddelde percentage van de afgelopen 3 jaar ten </t>
  </si>
  <si>
    <t>opzichte van de omzet als uitgangspunt genomen en stijgt gelijk mee met de omzet. Transport en overige</t>
  </si>
  <si>
    <t xml:space="preserve">bedrijfskosten wordt het gemiddelde van de afgelopen 3 jaar geindexeerd. Voor de bedrijfskosten geldt dat </t>
  </si>
  <si>
    <t>de waarden in de prognose overschreven kunnen worden indien deze aangepast moeten worden.</t>
  </si>
  <si>
    <t>In het model wordt eenvoudshalve verondersteld dat de cashflow steeds aan het einde van het jaar</t>
  </si>
  <si>
    <t>wordt gerealiseerd (jaarconventie).</t>
  </si>
  <si>
    <t>Er wordt onderscheid gemaakt tussen de scenarioperiode en de restperiode. De gedachte hierachter</t>
  </si>
  <si>
    <t>is dat voor een beperkt aantal jaren een redelijke inschatting van de cashflow kan worden gemaakt.</t>
  </si>
  <si>
    <t>Te denken valt aan een omzetstijging en een investeringsprogramma in vaste activa.</t>
  </si>
  <si>
    <t xml:space="preserve">In de restperiode wordt een stabiele situatie verondersteld, waarin geen structurele groei maar alleen </t>
  </si>
  <si>
    <t xml:space="preserve">inflatoire groei, sprake is van een ideaalcomplex voor de vaste activa en geen verschil is tussen </t>
  </si>
  <si>
    <t xml:space="preserve">investeringen en afschrijvingen. Een kortere scenarioperiode is geen probleem in het model. U kunt dan vanaf </t>
  </si>
  <si>
    <t xml:space="preserve">een bepaald scenariojaar overgaan tot uitsluitend indexatie. Indien u een langere scenarioperiode nodig heeft </t>
  </si>
  <si>
    <t xml:space="preserve">omdat er buiten de vijf jaar die het model hanteert nog structurele groei plaatsvindt dient u een eigen model te </t>
  </si>
  <si>
    <t xml:space="preserve">bouwen of het model uit te breiden met extra prognosejaren. Het model geeft 6 prognosejaren weer. Hiervan </t>
  </si>
  <si>
    <t xml:space="preserve">zijn 5 jaren daadwerkelijke prognosejaren waarin structurele groei opgevoerd kan worden. Het 6e jaar is </t>
  </si>
  <si>
    <t xml:space="preserve">het zogenaamde stabilisatiejaar. In dit jaar gaat u uit van slechts inflatoire groei om het ideaalcomplex te </t>
  </si>
  <si>
    <t>bereiken voor de restperiode en om een werkkapitaalmutatie te krijgen die past bij inflatoire groei.</t>
  </si>
  <si>
    <t>Rendementseis</t>
  </si>
  <si>
    <t xml:space="preserve">U start met het formuleren van een rendementseis. Zie hiervoor MFAS dga-1409. </t>
  </si>
  <si>
    <t xml:space="preserve">Voor het bepalen van de rendementseis kan worden gekozen tussen de benadering op basis van het door </t>
  </si>
  <si>
    <t xml:space="preserve">ValuePro uitgevoerde empirische onderzoek naar rendementseisen voor Nederlandse niet-beursgenoteerde </t>
  </si>
  <si>
    <t xml:space="preserve">ondernemingen en de BDO Build-Up methode. Bij de APV- en/of DCFM-berekening dient vervolgens te </t>
  </si>
  <si>
    <t>worden aangegeven welke benadering wordt toegepast.</t>
  </si>
  <si>
    <t>De rendementseis van MKB-bedrijven pleegt te liggen in de range 14%-20%.</t>
  </si>
  <si>
    <t>Voor de toepassing van de DCFM wordt uitgegaan van een vaste WACC. Voor de restperiode kan</t>
  </si>
  <si>
    <t>met een afwijkende WACC worden gerekend (omdat de verhouding VV/EV anders is dan tijdens de</t>
  </si>
  <si>
    <t>scenarioperiode).</t>
  </si>
  <si>
    <t>Illiq-opslag</t>
  </si>
  <si>
    <t>In dit tabblad wordt het verschil inzichtelijk gemaakt tussen het hanteren van een illiquiditeitsopslag in</t>
  </si>
  <si>
    <t>de rendementseis, zie ook het tabblad over de rendementseis, en een afslag op de waarde op basis</t>
  </si>
  <si>
    <t>van een vast percentage aan transactiekosten.</t>
  </si>
  <si>
    <t>De waarde uit de APV sheet wordt als basis genomen. In dit tabblad wordt de waarde ook berekend</t>
  </si>
  <si>
    <t>zonder de illiquiditeitsopslag zoals opgenomen in de rendementseis. Het verschil tussen deze twee</t>
  </si>
  <si>
    <t>waarden bestaat uit een rentecomponent en een component (het restant) voor de transactiekosten.</t>
  </si>
  <si>
    <t>Deze transactiekosten die resteren wordt vergeleken met de transactiekosten op basis van de  kosten</t>
  </si>
  <si>
    <t>berekend op basis van een vast percentage.</t>
  </si>
  <si>
    <t>APV</t>
  </si>
  <si>
    <t>De adjusted present value-methode (APV) is een variant op de discounted cashflowmethode. De te</t>
  </si>
  <si>
    <t xml:space="preserve">berekenen waarde is gelijk aan: </t>
  </si>
  <si>
    <t>de contante waarde van de free cashflows</t>
  </si>
  <si>
    <t>minus de economische waarde van de overgenomen niet-operationele schulden</t>
  </si>
  <si>
    <t>minus de initiële investeringsachterstand</t>
  </si>
  <si>
    <t>minus het initiële tekort op het werkkapitaal</t>
  </si>
  <si>
    <t>plus de waarde van de tax shield</t>
  </si>
  <si>
    <t>plus de waarde van de zelfstandige vruchtdragers.</t>
  </si>
  <si>
    <t>Anders dan bij de DCFM wordt de free cashflow contant gemaakt tegen de keu.</t>
  </si>
  <si>
    <t xml:space="preserve">De tax shield is de waarde van de belastingbesparing door de aftrekbaarheid van de rente op de </t>
  </si>
  <si>
    <t>overnamefinanciering. In het model wordt aangesloten bij de ontwikkeling van de overnamefinanciering</t>
  </si>
  <si>
    <t>in de scenarioperiode zoals ingevuld in de tab Financiering.</t>
  </si>
  <si>
    <t xml:space="preserve">De tax shield voor de restperiode is verwerkt door de contantmaking van de cashflows in de </t>
  </si>
  <si>
    <t xml:space="preserve">restperiode te doen tegen de WACC-rest i.p.v. tegen de keu. </t>
  </si>
  <si>
    <t>DCFM</t>
  </si>
  <si>
    <t xml:space="preserve">Bij de DCFM worden de free cashflows contant gemaakt tegen de WACC (weighted average cost of </t>
  </si>
  <si>
    <t>capital). Zie MFAS dga-1409. Het fiscale voordeel van de renteaftrek zit hierin verwerkt, zodat geen</t>
  </si>
  <si>
    <t>aparte tax shield hoeft te worden berekend. Voor de restperiode kan met een afwijkende WACC</t>
  </si>
  <si>
    <t>worden gerekend. Omdat bij de DCFM met een vaste WACC wordt gerekend, wijkt de uitkomst van de</t>
  </si>
  <si>
    <t xml:space="preserve">DCFM (iets) af van die van de APV. De veronderstelling van de vaste vermogensverhouding is uit </t>
  </si>
  <si>
    <t>eenvoudsoverwegingen gemaakt. Als u het voordeel van de renteaftrek op basis van de werkelijke</t>
  </si>
  <si>
    <t xml:space="preserve">vermogensverhouding wilt hanteren, dient u het geprognositiceerd verloop van het vreemd vermogen in de </t>
  </si>
  <si>
    <t>balans op te nemen en de uitkomst van de APV gebruiken.</t>
  </si>
  <si>
    <t xml:space="preserve">Voor de goede orde wijzen wij erop dat voornoemde veronderstelling van een vaste vermogensverhouding </t>
  </si>
  <si>
    <t>bij toepassing van één WACC in strijd met de realiteit is, doch het verschil is vaak niet materieel.</t>
  </si>
  <si>
    <t>Het model maakt onderscheid tussen de WACC voor de scenarioperiode en de WACC voor de</t>
  </si>
  <si>
    <t>restperiode. De restwaarde inclusief de tax shield wordt bij de APV en de DCFM op dezelfde manier</t>
  </si>
  <si>
    <t>berekend (op basis van de WACC-rest).</t>
  </si>
  <si>
    <t>Financiering</t>
  </si>
  <si>
    <t>Op de tab Financiering kan berekend worden of de overname financieringstechnisch haalbaar is. Er wordt getoetst aan drie gangbare bancaire financieringsnormen. Het is doorgaans voldoende als aan de eerste twee wordt voldaan. Het model biedt de mogelijkheid financiering door de verkoper in te bouwen. Soms is het nodig dat op deze financiering aflossingen enige jaren achterwege blijven. Soms is het zelfs nodig de rente bij te laten schrijven. Dat kan door de aflossing op een negatief bedrag te stellen (regel 49).</t>
  </si>
  <si>
    <t xml:space="preserve">Een vuistregel in het MKB is dat de koopsom reëel is als de overnamefinanciering in 7 jaar kan worden </t>
  </si>
  <si>
    <r>
      <t>afgelost uit de cashflow. Het model geeft met een "</t>
    </r>
    <r>
      <rPr>
        <sz val="8"/>
        <color indexed="10"/>
        <rFont val="Arial"/>
        <family val="2"/>
      </rPr>
      <t>x</t>
    </r>
    <r>
      <rPr>
        <sz val="8"/>
        <rFont val="Arial"/>
        <family val="2"/>
      </rPr>
      <t>" in regel 55 weer wanneer de koopsom is terug-</t>
    </r>
  </si>
  <si>
    <t>verdiend. Het terugverdienbedrag is gesteld op de cashflow na financieringslasten, vermeerderd met de aflossingen op de financiering van de bank en die van de verkoper.</t>
  </si>
  <si>
    <t>Afkappen restwaarde</t>
  </si>
  <si>
    <t>Bij onderhandelingen kan het uitgangspunt van de eeuwigdurende reeks ter discusie worden gesteld.</t>
  </si>
  <si>
    <t>pen van de restwaarde na een aantal jaren. Deze korting valt vaak lager uit dan men op het eerste</t>
  </si>
  <si>
    <t xml:space="preserve">Het model maakt onderscheid tussen de WACC voor de scenarioperiode en de WACC voor de restperiode. </t>
  </si>
  <si>
    <t xml:space="preserve">De restwaarde inclusief de tax shield wordt bij de APV en de DCFM op dezelfde manier berekend (op basis </t>
  </si>
  <si>
    <t>van de WACC-rest).</t>
  </si>
  <si>
    <t xml:space="preserve">Op de tab Financiering kan berekend worden of de overname financieringstechnisch haalbaar is. Er wordt </t>
  </si>
  <si>
    <t xml:space="preserve">getoetst aan drie gangbare bancaire financieringsnormen. Het is doorgaans voldoende als aan de eerste </t>
  </si>
  <si>
    <t xml:space="preserve">twee wordt voldaan. Het model biedt de mogelijkheid financiering door de verkoper in te bouwen. Soms is het </t>
  </si>
  <si>
    <t xml:space="preserve">nodig dat op deze financiering aflossingen enige jaren achterwege blijven. Soms is het zelfs nodig de rente bij </t>
  </si>
  <si>
    <t>te laten schrijven. Dat kan door de aflossing op een negatief bedrag te stellen (regel 49).</t>
  </si>
  <si>
    <t xml:space="preserve">verdiend. Het terugverdienbedrag is gesteld op de cashflow na financieringslasten, vermeerderd met de </t>
  </si>
  <si>
    <t>aflossingen op de financiering van de bank en die van de verkoper.</t>
  </si>
  <si>
    <t>De verkoper zou dan als gebaar een korting op de vraagprijs kunnen bieden gebaseerd op het afkap-</t>
  </si>
  <si>
    <t>gezicht zou denken. Dat heeft te maken met de hoge disconteringsvoet.</t>
  </si>
  <si>
    <t>Activadeal</t>
  </si>
  <si>
    <t>De DCFM-waarde is gebaseerd op een aandelendeal. Als bij een activadeal een fiscaal afschrijvings-</t>
  </si>
  <si>
    <t xml:space="preserve">potentieel ontstaat over stille reserves en goodwill, vertegenwoordigt dit een zekere waarde (tax shield). </t>
  </si>
  <si>
    <t xml:space="preserve">De waarde is gelijk aan de contante waarde van de belastingheffing over het verschil in afschrijvingen bij </t>
  </si>
  <si>
    <t>een aandelentransactie en een activatransactie</t>
  </si>
  <si>
    <t>In dat geval is de waarde bij een activadeal hoger dan bij een aandelendeal.</t>
  </si>
  <si>
    <t xml:space="preserve">De bruto goodwill en de bruto stille reserves zijn het verschil tussen de intrinsieke waarde (boekhoudkundige </t>
  </si>
  <si>
    <t>waarde) en de berekende econmische waarde</t>
  </si>
  <si>
    <t xml:space="preserve">Houd er hierbij rekening mee dat de tax shield over de goodwill ook weer over mag worden afgeschreven. </t>
  </si>
  <si>
    <t xml:space="preserve">Om de juiste tax shield over de goodwill te berekenen, dient derhalve een brutering plaats te vinden. In het </t>
  </si>
  <si>
    <t xml:space="preserve">rekenmodel hebben we een vereenvoudigde berekening opgenomen. Om de het verschil exact uit te rekenen </t>
  </si>
  <si>
    <t xml:space="preserve">dienen de juiste afschrijvingstermijnen voor de vaste activa te worden berekend. </t>
  </si>
  <si>
    <t>Invoer algemeen en balans</t>
  </si>
  <si>
    <t>Algemeen</t>
  </si>
  <si>
    <t>Waarderingsdatum (ultimo)</t>
  </si>
  <si>
    <t>Notatie bedragen</t>
  </si>
  <si>
    <t>x 1.000</t>
  </si>
  <si>
    <t>Btw-tarief</t>
  </si>
  <si>
    <t>Rente-tarief</t>
  </si>
  <si>
    <t>Inflatie</t>
  </si>
  <si>
    <t>Investeringsachterstand</t>
  </si>
  <si>
    <t xml:space="preserve">Over te rentedragend vreemd vermogen </t>
  </si>
  <si>
    <t>Debt like items en correctieschulden</t>
  </si>
  <si>
    <t>Over te nemen zelfstandige vruchtdrager(s)</t>
  </si>
  <si>
    <t>Over te nemen zelfstandige vruchtdrager: liquide middelen balans</t>
  </si>
  <si>
    <t>Valuedrivers en ratio's balans</t>
  </si>
  <si>
    <t>Voorraadtermijn in dagen</t>
  </si>
  <si>
    <t>Onderhandenwerktermijn in dagen</t>
  </si>
  <si>
    <t>Debiteurentermijn dagen</t>
  </si>
  <si>
    <t>Crediteurentermijn in dagen</t>
  </si>
  <si>
    <t>Solvabiliteit</t>
  </si>
  <si>
    <t>EV / (EV + VV)</t>
  </si>
  <si>
    <t>Immateriële vaste activa - Investeringen minus desinvesteringen</t>
  </si>
  <si>
    <t>Immateriële vaste activa - Amortisatie (afschrijving)</t>
  </si>
  <si>
    <t>Immateriële vaste activa   - Stand einde van het jaar</t>
  </si>
  <si>
    <t>Gebouwen en terreinen - Investeringen minus desinvesteringen</t>
  </si>
  <si>
    <t>Gebouwen en terreinen - Afschrijvingen</t>
  </si>
  <si>
    <t>Gebouwen en terreinen   - Stand einde van het jaar</t>
  </si>
  <si>
    <t>Inventaris - Investeringen minus desinvesteringen</t>
  </si>
  <si>
    <t>Inventaris - Afschrijvingen</t>
  </si>
  <si>
    <t>Inventaris                          - Stand einde van het jaar</t>
  </si>
  <si>
    <t>Voertuigen - Investeringen minus desinvesteringen</t>
  </si>
  <si>
    <t>Voertuigen - Afschrijvingen</t>
  </si>
  <si>
    <t>Voertuigen                        - Stand einde van het jaar</t>
  </si>
  <si>
    <t>Overige bedrijfsuitrusting - Investeringen minus desinvesteringen</t>
  </si>
  <si>
    <t>Overige bedrijfsuitrusting - Afschrijvingen</t>
  </si>
  <si>
    <t>Overige bedrijfsuitrusting - Stand einde van het jaar</t>
  </si>
  <si>
    <t>Financiële vaste activa     - Stand einde van het jaar</t>
  </si>
  <si>
    <t>Voorraad</t>
  </si>
  <si>
    <t>Onderhandenwerk</t>
  </si>
  <si>
    <t>Debiteuren</t>
  </si>
  <si>
    <t>R/C groepsmaatschappijen</t>
  </si>
  <si>
    <t>R/C gelieerde partijen</t>
  </si>
  <si>
    <t>Te vorderen winstbelasting</t>
  </si>
  <si>
    <t>Te vorderen omzetbelasting</t>
  </si>
  <si>
    <t>Overige vorderingen</t>
  </si>
  <si>
    <t>Liquiditeit onderdeel van werkkapitaal</t>
  </si>
  <si>
    <t>Overtollige liquide middelen / zelfstandige vruchtdrager(s)</t>
  </si>
  <si>
    <t>Totaal activa</t>
  </si>
  <si>
    <t>Eigen vermogen</t>
  </si>
  <si>
    <t>Uitkering dividend</t>
  </si>
  <si>
    <t>Voorzieningen  - Stand einde van het jaar</t>
  </si>
  <si>
    <t xml:space="preserve">Rentedragend vreemd vermogen </t>
  </si>
  <si>
    <t>Rekening-courant bank</t>
  </si>
  <si>
    <t>Crediteuren</t>
  </si>
  <si>
    <t>Te betalen winstbelasting</t>
  </si>
  <si>
    <t>Te betalen omzetbelasting</t>
  </si>
  <si>
    <t>Te betalen overige belastingen</t>
  </si>
  <si>
    <t>Te betalen pensioenlasten</t>
  </si>
  <si>
    <t>Belastingen en premies</t>
  </si>
  <si>
    <t>Ontvangen vooruitbetalingen</t>
  </si>
  <si>
    <t>Reservering vakantiegeld en -dagen</t>
  </si>
  <si>
    <t>Overige passiva</t>
  </si>
  <si>
    <t>Totaal passiva</t>
  </si>
  <si>
    <t>Netto werkkapitaal</t>
  </si>
  <si>
    <t>Toename (-)afname / (+) werkkapitaal</t>
  </si>
  <si>
    <t>Aangifte omzetbelasting:</t>
  </si>
  <si>
    <t>Omzetbelasting te betalen (+) of te vorderen (-)</t>
  </si>
  <si>
    <t>Aangifte aantal keren per jaar</t>
  </si>
  <si>
    <t>Invoer exploitatie</t>
  </si>
  <si>
    <t>Valuedrivers en ratio's exploitatie</t>
  </si>
  <si>
    <t>Algemene groei of inflatie</t>
  </si>
  <si>
    <t>Omzetgroei (inclusief inflatie)</t>
  </si>
  <si>
    <t>Brutomarge</t>
  </si>
  <si>
    <t>Bedrijfskosten/omzet</t>
  </si>
  <si>
    <t>EBITDA to sales</t>
  </si>
  <si>
    <t>Arbeidsquote (salarissen en inhuur / brutowinst)</t>
  </si>
  <si>
    <t>Omzetgroep 1</t>
  </si>
  <si>
    <t>Omzetgroep 2</t>
  </si>
  <si>
    <t>Omzetgroep 3</t>
  </si>
  <si>
    <t>Omzetgroep 4</t>
  </si>
  <si>
    <t>Omzetgroep 5</t>
  </si>
  <si>
    <t>Netto omzet</t>
  </si>
  <si>
    <t>Kosten uitbesteed werk</t>
  </si>
  <si>
    <t>Kostprijs van de omzet</t>
  </si>
  <si>
    <t>Brutowinst</t>
  </si>
  <si>
    <t>Salarissen en lonen</t>
  </si>
  <si>
    <t>Sociale lasten</t>
  </si>
  <si>
    <t>Pensioenlasten</t>
  </si>
  <si>
    <t>Directiebeloning</t>
  </si>
  <si>
    <t>Ontvangen vergoedingen</t>
  </si>
  <si>
    <t>Bonussen</t>
  </si>
  <si>
    <t>Ingehuurd personeel</t>
  </si>
  <si>
    <t>Reiskosten personeel</t>
  </si>
  <si>
    <t>Opleidingskosten</t>
  </si>
  <si>
    <t>Overige personeelskosten</t>
  </si>
  <si>
    <t>Personeelskosten</t>
  </si>
  <si>
    <t>Huur</t>
  </si>
  <si>
    <t>Energie en water</t>
  </si>
  <si>
    <t>Onderhoud en schoonmaak</t>
  </si>
  <si>
    <t>Verzekeringen</t>
  </si>
  <si>
    <t>Vaste lasten</t>
  </si>
  <si>
    <t>Overige huisvestingskosten</t>
  </si>
  <si>
    <t>Huisvestingskosten</t>
  </si>
  <si>
    <t>Reclame- en advertentiekosten</t>
  </si>
  <si>
    <r>
      <t xml:space="preserve">Representatiekosten </t>
    </r>
    <r>
      <rPr>
        <i/>
        <sz val="8"/>
        <color indexed="8"/>
        <rFont val="Arial"/>
        <family val="2"/>
      </rPr>
      <t>- Huisstijl/mailing</t>
    </r>
  </si>
  <si>
    <t>Sponsorkosten</t>
  </si>
  <si>
    <t>Beurskosten</t>
  </si>
  <si>
    <t>Overige verkoopkosten</t>
  </si>
  <si>
    <t>Verkoopkosten</t>
  </si>
  <si>
    <t>Reparatie en onderhoud</t>
  </si>
  <si>
    <t>Brandstofkosten</t>
  </si>
  <si>
    <t>Huur- / leasekosten</t>
  </si>
  <si>
    <t>Verzekereringen</t>
  </si>
  <si>
    <t>Overige autokosten</t>
  </si>
  <si>
    <t>Autokosten</t>
  </si>
  <si>
    <t>Accountant- en advieskosten</t>
  </si>
  <si>
    <t>Telefoon / internet</t>
  </si>
  <si>
    <t>Abonnementen en contributies</t>
  </si>
  <si>
    <t>Drukwerk en porti</t>
  </si>
  <si>
    <t>Kantoorkosten</t>
  </si>
  <si>
    <t>Verzekeringen algemeen</t>
  </si>
  <si>
    <t>Overige algemene kosten</t>
  </si>
  <si>
    <t>Algemene kosten, genormaliseerd</t>
  </si>
  <si>
    <t>Dotatie (+) / vrijval (-) voorziening</t>
  </si>
  <si>
    <t>Totaal bedrijfskosten</t>
  </si>
  <si>
    <t>Bedrijfsresultaat - EBITDA</t>
  </si>
  <si>
    <t>Amortisatie (afschrijving) immateriële vaste activa</t>
  </si>
  <si>
    <t>Afschrijving gebouwen en terreinen</t>
  </si>
  <si>
    <t>Afschrijving inventaris</t>
  </si>
  <si>
    <t>Afschrijving voertuigen</t>
  </si>
  <si>
    <t>Afschrijving overige bedrijfsuitrusting</t>
  </si>
  <si>
    <t>Afschrijvingen en amortisatie</t>
  </si>
  <si>
    <t>Bedrijfsresultaat - EBITA</t>
  </si>
  <si>
    <t>Bedrijfsresultaat - EBIT</t>
  </si>
  <si>
    <t>Rente over vreemd vermogen en RC bank</t>
  </si>
  <si>
    <t>Resultaat voor belasting</t>
  </si>
  <si>
    <t>Correctie resultaat voor belasting</t>
  </si>
  <si>
    <t>Vpb-tarief eerste schijf</t>
  </si>
  <si>
    <t>Bedrag eerste schijf (denk aan notatie bedragen)</t>
  </si>
  <si>
    <t>Vpb-tarief tweede schijf</t>
  </si>
  <si>
    <t>Effectief vpb-tarief</t>
  </si>
  <si>
    <t>Belasting</t>
  </si>
  <si>
    <t>Resultaat na belasting</t>
  </si>
  <si>
    <t>Vrije kasstroom</t>
  </si>
  <si>
    <t>Mutatie voorzieningen</t>
  </si>
  <si>
    <t>Gecorrigeerd bedrijfsresultaat</t>
  </si>
  <si>
    <t>Effectief vpb-tarief op gecorrigeerd bedrijfsresultaat</t>
  </si>
  <si>
    <t>Netto bedrijfsresultaat - NOPLAT</t>
  </si>
  <si>
    <t>Afschrijvingen</t>
  </si>
  <si>
    <t>Operationele cashflow</t>
  </si>
  <si>
    <t>Mutatie netto werkkapitaal</t>
  </si>
  <si>
    <t>Investeringen vaste activa</t>
  </si>
  <si>
    <t>Vrije geldstroom</t>
  </si>
  <si>
    <t>Geëist rendement eigen vermogen, kostenvoet eigen vermogen</t>
  </si>
  <si>
    <t>Keu Referentiemodel*</t>
  </si>
  <si>
    <t>Branche waarin de onderneming actief is</t>
  </si>
  <si>
    <t>Automotive, Transport &amp; Logistiek</t>
  </si>
  <si>
    <t>Is er sprake van exploitatiegebonden onroerend goed?</t>
  </si>
  <si>
    <t>Ja</t>
  </si>
  <si>
    <t>Wat is ongeveer de ondernemingswaarde? In euro's.</t>
  </si>
  <si>
    <t>Wilt u een correctie toepassen vanwege het wel of niet aanwezig zijn van exploitatiegebonden onroerend goed?</t>
  </si>
  <si>
    <t>Nee</t>
  </si>
  <si>
    <t xml:space="preserve"> </t>
  </si>
  <si>
    <t>Min.</t>
  </si>
  <si>
    <t>Gem.</t>
  </si>
  <si>
    <t>Max.</t>
  </si>
  <si>
    <t>Voorgesteld 95% betrouwbaarheidsinterval</t>
  </si>
  <si>
    <t xml:space="preserve">Indien u het 95% betrouwbaarheidsinterval toepasbaar vindt kunt u aan de hand van de Small firm en Specific firm elementen bepalen waar de onderneming zich bevind in het betrowbaarheidsinterval. </t>
  </si>
  <si>
    <t xml:space="preserve">Let op: u kunt niet de weging en de percentages hanteren uit het BDO-model. </t>
  </si>
  <si>
    <t>De small firm elementen kunnen beoordeeld worden aan de volgende dimensies:</t>
  </si>
  <si>
    <t xml:space="preserve">Afhankelijkheid afnemers </t>
  </si>
  <si>
    <t>Afhankelijkheid leveranciers</t>
  </si>
  <si>
    <t>Afhankelijkheid management</t>
  </si>
  <si>
    <t>De specific firm premium elementen kunnen beoordeeld worden aan de volgende elementen:</t>
  </si>
  <si>
    <t xml:space="preserve">Merknaam en reputatie </t>
  </si>
  <si>
    <t>Spreiding van activiteiten</t>
  </si>
  <si>
    <t xml:space="preserve">Toetredingsbarrières tot de markt </t>
  </si>
  <si>
    <t>Flexibiliteit</t>
  </si>
  <si>
    <t>Overige:</t>
  </si>
  <si>
    <t>Overige correctie</t>
  </si>
  <si>
    <t>Toegepaste correctie voor exploitatiegebonden onroerend goed</t>
  </si>
  <si>
    <t>Voorgestelde Keu op basis van het 95% betrouwbaarheidsinterval</t>
  </si>
  <si>
    <t>Small firm correctie</t>
  </si>
  <si>
    <t>Specific firm correctie</t>
  </si>
  <si>
    <r>
      <t xml:space="preserve">Te eisen rentabiliteit eigen vermogen </t>
    </r>
    <r>
      <rPr>
        <b/>
        <i/>
        <sz val="8"/>
        <rFont val="Arial"/>
        <family val="2"/>
      </rPr>
      <t>unlevered</t>
    </r>
    <r>
      <rPr>
        <b/>
        <sz val="8"/>
        <rFont val="Arial"/>
        <family val="2"/>
      </rPr>
      <t xml:space="preserve"> (keu)</t>
    </r>
  </si>
  <si>
    <t>Keu MKB-bedrijven</t>
  </si>
  <si>
    <t>&lt; 10% --- zeer laag</t>
  </si>
  <si>
    <t>10%-14% --- laag</t>
  </si>
  <si>
    <t>14%-20% --- normaal</t>
  </si>
  <si>
    <t>20%-25% --- hoog</t>
  </si>
  <si>
    <t>25%-30% --- zeer hoog</t>
  </si>
  <si>
    <t>&gt;30% --- extreem</t>
  </si>
  <si>
    <t>Gemiddeld percentage vreemd vermogen scenarioperiode</t>
  </si>
  <si>
    <t>Gemiddeld percentage eigen vermogen scenarioperiode</t>
  </si>
  <si>
    <t>Rente vreemd vermogen</t>
  </si>
  <si>
    <r>
      <t xml:space="preserve">Te eisen rentabiliteit eigen vermogen </t>
    </r>
    <r>
      <rPr>
        <i/>
        <sz val="8"/>
        <rFont val="Arial"/>
        <family val="2"/>
      </rPr>
      <t xml:space="preserve">levered </t>
    </r>
    <r>
      <rPr>
        <sz val="8"/>
        <rFont val="Arial"/>
        <family val="2"/>
      </rPr>
      <t>(kel) (voor WACC)</t>
    </r>
  </si>
  <si>
    <t>Tax</t>
  </si>
  <si>
    <t>WACC scenarioperiode</t>
  </si>
  <si>
    <t>Percentage vreemd vermogen restperiode</t>
  </si>
  <si>
    <t>Kel restperiode</t>
  </si>
  <si>
    <t>WACC restperiode</t>
  </si>
  <si>
    <t xml:space="preserve">*Dit rekenmodel is ontwikkeld om de onderzoeksresultaten van het door ValuePro uitgevoerde onderzoek naar de rendementeseis voor Nederlandse niet-beurgenoteerde ondernemingen eenvoudig toepasbaar te maken. Het volledige onderzoek is te downloaden via onderstaande link: </t>
  </si>
  <si>
    <t xml:space="preserve">ValuePro Papers: Rendementseis niet-beursgenoteerde ondernemingen - ValuePro </t>
  </si>
  <si>
    <t>Wanneer u aangeeft in welke branche de onderneming actief is, of er sprake is van exploitatiegebonden onroerend goed, en in welke range de ondernemingswaarde zich bevindt, berekent het rekenmodel het te hanteren 95%-betrouwbaarheidsinterval. 
Het rekenmodel hanteert de gemiddelde Keu van de geselecteerde branche. Indien deze branche niet significant afwijkt van de totale onderzoeksgroep, wordt de gemiddelde Keu van het deciel toegepast.
Vervolgens kan de Keu worden gecorrigeerd voor de aanwezigheid van exploitatiegebonden onroerend goed en/of voor een afwijkende ondernemingswaarde ten opzichte van de gemiddelde ondernemingswaarde binnen de branche. Het laatste is niet van toepassing als de gemiddelde Keu van het deciel wordt gehanteerd. Het toepassen van dergelijke correcties is een subjectieve beoordeling van de waardeerder.
Het is vervolgens aan u als waardeerder om te bepalen of u dit interval hanteert en, zo ja, waar binnen dit interval de onderneming volgens u moet worden gepositioneerd. U kunt dit bepalen aan de hand van de small- en specific firm elementen. Hierbij dient u zich te realiseren dat de weging en percentages van het BDO-model niet toegepast kunnen worden.
Let op: het stapelen van verschillende onderzoeksresultaten leidt tot lagere statistische betrouwbaarheid.
Let op: de uitkomsten zijn niet toepasbaar op startups of scale ups.
Let op: de ondernemingswaarden in de dataset variëren van € 55.300 tot € 750.000.000. In het 10e deciel is de spreiding van de ondernemingswaarde hoog en lijkt de daling van de Keu te stagneren. Het toepassen van de onderzoeksresultaten op ondernemingen met een waarde buiten de onderzoeksresultaten (of binnen het tiende deciel) gaat gepaard met een lagere statistische betrouwbaarheid.</t>
  </si>
  <si>
    <t>Build-up methode*</t>
  </si>
  <si>
    <t>Risicovrij, rendement staatsobligaties 10 jaar</t>
  </si>
  <si>
    <t>Algemene opslag eigen vermogen</t>
  </si>
  <si>
    <t>Illiquiditeitspremie (onderdeel small company premium)</t>
  </si>
  <si>
    <t>2% maximaal risico o.b.v. BDO model</t>
  </si>
  <si>
    <t>Afhankelijkheid van dga (onderdeel small company premium)</t>
  </si>
  <si>
    <t>Afhankelijkheid leveranciers (onderdeel small company premium)</t>
  </si>
  <si>
    <t>Afhankelijkheid beperkt aantal afnemers (onderdeel small company premium)</t>
  </si>
  <si>
    <t>Risico vanwege eenzijdigheid activiteiten (bedrijfsspecifiek)</t>
  </si>
  <si>
    <t>Risico door beperkte toetredingsbarrières (bedrijfsspecifiek)</t>
  </si>
  <si>
    <t>Risico door beperkte track-record (bedrijfsspecifiek)</t>
  </si>
  <si>
    <t>Risico door beperkte flexibiliteit (bedrijfsspecifiek)</t>
  </si>
  <si>
    <t>Extra opslag</t>
  </si>
  <si>
    <t>inschatting adviseur</t>
  </si>
  <si>
    <r>
      <t xml:space="preserve">Te eisen rentabiliteit eigen vermogen </t>
    </r>
    <r>
      <rPr>
        <i/>
        <sz val="8"/>
        <rFont val="Arial"/>
        <family val="2"/>
      </rPr>
      <t>unlevered</t>
    </r>
    <r>
      <rPr>
        <sz val="8"/>
        <rFont val="Arial"/>
        <family val="2"/>
      </rPr>
      <t xml:space="preserve"> (keu)</t>
    </r>
  </si>
  <si>
    <t>In het MKB pleegt dit te liggen in de bandbreedt 14%-20%</t>
  </si>
  <si>
    <t>*Een wijze om de kostenvoet van het eigen vermogen te verkrijgen is het Capital Asset Pricing Model (CAPM). De risicovrije rente wordt vermeerderd met het marktrisicopremie, die vermenigvuldigd wordt met een beta: de variabiliteit van de onderneming ten opzichte van de markt als geheel.
Het is de vraag of CAPM geschikt is voor het MKB. In het model wordt namelijk verondersteld dat de belegger/aandeelhouder gediversifieerd is, ofwel de beleggingsportefeuille wordt steeds op zo een wijze samengesteld dat balans bestaat. Een MKB ondernemer heeft echter aandelen in zijn onderneming en zal deze aanhouden, feitelijk een ‘buy and hold’ strategie
Als alternatief kan de Build-up methode dienen, de methode die hier ook gebruikt wordt. Bij de Build-up methode wordt de kostenvoet opgebouwd uit verschillende bestanddelen, zoals de naam al aangeeft. De bestanddelen zijn de risicovrije rente, de marktrisicopremie vermenigvuldigd met de Beta (die bij de Build-up methode gelijk gesteld wordt aan 1), de premie voor kleinschaligheid en het specifieke bedrijfsrisico. De in dit model opgenomen relatief weging van small firm en specific firm premie zijn ontleend aan het BDO build up model.Hierbij heeft BDO zich met het opstellen van het model met name gericht op ondernemingen met ondernemingswaardes vanaf circa 1 miljoen euro tot enkele tientallen miljoenen euro’s</t>
  </si>
  <si>
    <t>Gemiddelde Keu</t>
  </si>
  <si>
    <t>significant verschil totaal</t>
  </si>
  <si>
    <t>95% interval min</t>
  </si>
  <si>
    <t>95% interval max</t>
  </si>
  <si>
    <t>Grootte interval</t>
  </si>
  <si>
    <t>Gemiddelde ondernemingswaarde</t>
  </si>
  <si>
    <t>Mediaan ondernemingswaarde</t>
  </si>
  <si>
    <t>Deciel Gem. OW</t>
  </si>
  <si>
    <t>Min. ondernemingswaarde</t>
  </si>
  <si>
    <t xml:space="preserve">Max. ondernemingswaarde </t>
  </si>
  <si>
    <t>Range</t>
  </si>
  <si>
    <t>Aantal observaties</t>
  </si>
  <si>
    <t>Aandeel OG in subgroep</t>
  </si>
  <si>
    <t>Agri &amp; Food</t>
  </si>
  <si>
    <t>ja</t>
  </si>
  <si>
    <t>Deciel 9</t>
  </si>
  <si>
    <t>Deciel 8</t>
  </si>
  <si>
    <t>Bouw &amp; Installatietechniek</t>
  </si>
  <si>
    <t>nee</t>
  </si>
  <si>
    <t>Deciel 7</t>
  </si>
  <si>
    <t>Detailhandel</t>
  </si>
  <si>
    <t>Gezondheidszorg &amp; Farmacie</t>
  </si>
  <si>
    <t>Deciel 10</t>
  </si>
  <si>
    <t>Groothandel</t>
  </si>
  <si>
    <t>Horeca, Toerisme &amp; Recreatie</t>
  </si>
  <si>
    <t>Industrie &amp; Productie</t>
  </si>
  <si>
    <t>IT, Online &amp; E-commerce</t>
  </si>
  <si>
    <t>Media, Reclame &amp; Communicatie</t>
  </si>
  <si>
    <t>Deciel 6</t>
  </si>
  <si>
    <t>Zakelijke dienstverlening</t>
  </si>
  <si>
    <t>Vul in</t>
  </si>
  <si>
    <t>Totale onderzoeksgroep</t>
  </si>
  <si>
    <t>Deciel</t>
  </si>
  <si>
    <t>Gemiddelde</t>
  </si>
  <si>
    <t>95% betrouwbaarheidsinterval</t>
  </si>
  <si>
    <t>De onderneming valt buiten de onderzoeksresultaten</t>
  </si>
  <si>
    <t>&lt; 55.399</t>
  </si>
  <si>
    <t>Deciel 1</t>
  </si>
  <si>
    <t>Deciel 2</t>
  </si>
  <si>
    <t>Deciel 3</t>
  </si>
  <si>
    <t>Deciel 4</t>
  </si>
  <si>
    <t>Deciel 5</t>
  </si>
  <si>
    <t>Exploitatie gebonden onroerend goed aanwezig:</t>
  </si>
  <si>
    <t>Correctie</t>
  </si>
  <si>
    <t>Illiquiditeitsopslag DCF</t>
  </si>
  <si>
    <t>Rendementseis op basis van</t>
  </si>
  <si>
    <t>Keu</t>
  </si>
  <si>
    <t>Illiquiditeitsopslag</t>
  </si>
  <si>
    <t>Aantal maanden tussen waarderingsmoment en ontvangst koopsom</t>
  </si>
  <si>
    <t>Ondernemingswaarde bij keu (APV methode)</t>
  </si>
  <si>
    <t>Ondernemingswaarde bij keu zonder illiquiditeitsopslag</t>
  </si>
  <si>
    <t>Illiquiditeitspremie</t>
  </si>
  <si>
    <t>Als percentage van de ondernemingswaarde</t>
  </si>
  <si>
    <t>Verkoopopbrengst</t>
  </si>
  <si>
    <t>Rentecorrectie</t>
  </si>
  <si>
    <t>Impliciete transactiekosten op basis van build up rendementseis</t>
  </si>
  <si>
    <t>Alternatief: transactiekosten als percentage van ondernemingswaarde</t>
  </si>
  <si>
    <t>Percentage kosten o.a. accountant, M&amp;A adviseur en juridische kosten</t>
  </si>
  <si>
    <t>Totaal transactiekosten</t>
  </si>
  <si>
    <t>Waardering bij illiqiditeitsopslag</t>
  </si>
  <si>
    <t>Bij: transactiekosten conform build up</t>
  </si>
  <si>
    <t>Af: geschatte transactiekosten</t>
  </si>
  <si>
    <t>Waarde volgens afslagmethode</t>
  </si>
  <si>
    <t>Hogere waarde bij geschatte transactiekosten methode</t>
  </si>
  <si>
    <t>Gevoeligheidsanalyse transactiekosten: verschil in waarde methoden</t>
  </si>
  <si>
    <t>Percentage transactiekosten</t>
  </si>
  <si>
    <t>Aantal</t>
  </si>
  <si>
    <t>maanden</t>
  </si>
  <si>
    <t>tussen</t>
  </si>
  <si>
    <t>waardering</t>
  </si>
  <si>
    <t>en transactie</t>
  </si>
  <si>
    <t>Discounted cash flow-methode (op basis van constante wacc)</t>
  </si>
  <si>
    <t>In de restwaarde</t>
  </si>
  <si>
    <t>WACC op basis vaste vermogensverhouding</t>
  </si>
  <si>
    <t>Veronderstelde vaste ratio vreemd vermogen/totaal vermogen</t>
  </si>
  <si>
    <t>∞</t>
  </si>
  <si>
    <t>totaal</t>
  </si>
  <si>
    <t>Omzet</t>
  </si>
  <si>
    <t>Kosten van de omzet</t>
  </si>
  <si>
    <t>Bedrijfsresultaat</t>
  </si>
  <si>
    <t>VPB</t>
  </si>
  <si>
    <t>Toename (+)/afname (-) werkkapitaal</t>
  </si>
  <si>
    <t>Meer (-) of minder (+) capex dan afschrijvingen</t>
  </si>
  <si>
    <t>Geldstroom exclusief financieringskosten</t>
  </si>
  <si>
    <t>Restwaarde</t>
  </si>
  <si>
    <t>Contante waarde tegen WACC</t>
  </si>
  <si>
    <t>Berekening waarde</t>
  </si>
  <si>
    <t>Contante waarde cash flows exclusief financieringkosten</t>
  </si>
  <si>
    <t>Af: investeringsachterstand</t>
  </si>
  <si>
    <t>Af: over te nemen rentedragend vreemd vermogen</t>
  </si>
  <si>
    <t>Bij: zelfstandige vruchtdrager(s)</t>
  </si>
  <si>
    <t>Theoretische waarde</t>
  </si>
  <si>
    <t>Aandachtspunten</t>
  </si>
  <si>
    <t>Adjusted present value methode</t>
  </si>
  <si>
    <t>Geëiste rentabiliteit eigen vermogen unleveraged (keu)</t>
  </si>
  <si>
    <t>Restwaarde tegen wacc</t>
  </si>
  <si>
    <t>Contante waarde tegen keu</t>
  </si>
  <si>
    <t>Berekening tax shield scenarioperiode obv tab Financiering</t>
  </si>
  <si>
    <t>Rente</t>
  </si>
  <si>
    <t>Belastingvoordeel rente</t>
  </si>
  <si>
    <t xml:space="preserve">Contante waarde cash flows </t>
  </si>
  <si>
    <t xml:space="preserve">Tax shield </t>
  </si>
  <si>
    <t>Van financiering naar koopsom</t>
  </si>
  <si>
    <t>Koopsom</t>
  </si>
  <si>
    <t>Totaal te financieren</t>
  </si>
  <si>
    <t>Overgenomen financiering</t>
  </si>
  <si>
    <t>Rente overgenomen financiering</t>
  </si>
  <si>
    <t>Aflossingsvrije overnamefinanciering</t>
  </si>
  <si>
    <t>Rente aflossingsvrije financiering</t>
  </si>
  <si>
    <t>Lineair af te lossen overnamefinanciering</t>
  </si>
  <si>
    <t>Aantal jaren aflossing</t>
  </si>
  <si>
    <t>Rente af te lossen financiering</t>
  </si>
  <si>
    <t>In te brengen eigen vermogen</t>
  </si>
  <si>
    <t>Mezzaninefinanciering verkoper</t>
  </si>
  <si>
    <t>Rente financiering verkoper</t>
  </si>
  <si>
    <t>Tekort financiering</t>
  </si>
  <si>
    <t>Bedrijfskosten</t>
  </si>
  <si>
    <t>Winst vóór VPB</t>
  </si>
  <si>
    <t>VPB operationeel resultaat</t>
  </si>
  <si>
    <t>Toename (-)/afname (+) werkkapitaal</t>
  </si>
  <si>
    <t>Meer of minder (+) investeringen dan afschrijvingen</t>
  </si>
  <si>
    <t>Aflossing overgenomen financiering</t>
  </si>
  <si>
    <t>Rente aflossingvrije overnamefinanciering</t>
  </si>
  <si>
    <t>Stand af te lossen overnamefinanciering</t>
  </si>
  <si>
    <t>Aflossing</t>
  </si>
  <si>
    <t>Rente af te lossen overnamefinanciering</t>
  </si>
  <si>
    <t>Totaal rente</t>
  </si>
  <si>
    <t>Netto rentelasten exclusief financiering verkoper</t>
  </si>
  <si>
    <t>Aflossingen</t>
  </si>
  <si>
    <t>Rente en aflossingen</t>
  </si>
  <si>
    <t>Geldstroom na rente en aflossingen</t>
  </si>
  <si>
    <t>Cash outflow earn out</t>
  </si>
  <si>
    <t>Cashflow na rente en aflossing bank en earn out</t>
  </si>
  <si>
    <t>Stand financiering verkoper</t>
  </si>
  <si>
    <t>Aflossing financiering verkoper</t>
  </si>
  <si>
    <t>Belasting voordeel rente financiering verkoper</t>
  </si>
  <si>
    <t>Cashflow na rente en aflossing bank en rente verkoper</t>
  </si>
  <si>
    <t>Terugverdienbedrag</t>
  </si>
  <si>
    <t>Terugverdienperiode</t>
  </si>
  <si>
    <t>Opstelling t.b.v. de berekening van de tax shield</t>
  </si>
  <si>
    <t>Totale rente</t>
  </si>
  <si>
    <t>Netto rente</t>
  </si>
  <si>
    <t>Financieringsratio's                                                                      norm</t>
  </si>
  <si>
    <t>Totale schuld/EBITDA                                                                      &lt; 4</t>
  </si>
  <si>
    <t>Totale schuld</t>
  </si>
  <si>
    <t>EBITDA</t>
  </si>
  <si>
    <t>Resultaat voor rente/rente                                                              &gt; 3</t>
  </si>
  <si>
    <t>Resultaat voor rente</t>
  </si>
  <si>
    <t>Operationele cash flow na vervangingsinv/(rente + aflossing)     &gt; 1,3</t>
  </si>
  <si>
    <t>Free cashflow</t>
  </si>
  <si>
    <t>Rente + aflossingen</t>
  </si>
  <si>
    <t>Tax shield afschrijvingspotentieel in geval van activadeal</t>
  </si>
  <si>
    <t>Percentage afschrijfbaarheid pand</t>
  </si>
  <si>
    <t>Percentage afschrijfbaarheid overige activa</t>
  </si>
  <si>
    <t>afschrijving in jaren</t>
  </si>
  <si>
    <t>discon-tering</t>
  </si>
  <si>
    <t>tax shield</t>
  </si>
  <si>
    <t>Contante waardefactor</t>
  </si>
  <si>
    <t>Waarde in geval van aandelendeal</t>
  </si>
  <si>
    <t>Intrinsieke waarde excl meerwaarde pand/overige activa</t>
  </si>
  <si>
    <t xml:space="preserve">Meerwaarde pand </t>
  </si>
  <si>
    <t>Meerwaarde overige activa</t>
  </si>
  <si>
    <t>Tax shield pand en overige activa</t>
  </si>
  <si>
    <t>Goodwill exclusief tax shield</t>
  </si>
  <si>
    <t>Goodwill gebruteerd voor tax shield</t>
  </si>
  <si>
    <t>Tax shield goodwill</t>
  </si>
  <si>
    <t>Goodwill inclusief tax shield</t>
  </si>
  <si>
    <t>Intrinsieke waarde excl meerw pand en ov activa</t>
  </si>
  <si>
    <t>Meerwaarde pand</t>
  </si>
  <si>
    <t>Waarde i.g.v. activadeal</t>
  </si>
  <si>
    <t>Reconciation</t>
  </si>
  <si>
    <t>Waarde in geval van activadeal</t>
  </si>
  <si>
    <t>Af: belastinglatentie pand</t>
  </si>
  <si>
    <t>Af: belastinglatentie overige activa</t>
  </si>
  <si>
    <t>Af: belastinglatentie goodwill</t>
  </si>
  <si>
    <t>Prijs aandelendeal</t>
  </si>
  <si>
    <t>Effect afkappen restwaarde</t>
  </si>
  <si>
    <t>Afkappen na … jaar</t>
  </si>
  <si>
    <t>Genormaliseerde cashflow restperiode</t>
  </si>
  <si>
    <t>Contante waarde eeuwigdurend vanaf jaar 7</t>
  </si>
  <si>
    <t>Effect afkappen</t>
  </si>
  <si>
    <t xml:space="preserve">Dit rekenmodel is een coproductie van MFAS en ValuePro bedrijfswaardering &amp; advies  </t>
  </si>
  <si>
    <t xml:space="preserve">n de prognose per groep van het jaar daarvoor procentueel overgenomen. Personeelskosten worden in de </t>
  </si>
  <si>
    <r>
      <rPr>
        <u/>
        <sz val="8"/>
        <color rgb="FF000000"/>
        <rFont val="Arial"/>
        <family val="2"/>
      </rPr>
      <t>Invoer exploitatierekening</t>
    </r>
    <r>
      <rPr>
        <sz val="8"/>
        <color rgb="FF000000"/>
        <rFont val="Arial"/>
        <family val="2"/>
      </rPr>
      <t xml:space="preserve">: omzet in de prognose muteert volgens kengetal groei. Inkoopwaardeomzet wordt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</si>
</sst>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 #,##0.00;[Red]&quot;€&quot;\ \-#,##0.00"/>
    <numFmt numFmtId="43" formatCode="_ * #,##0.00_ ;_ * \-#,##0.00_ ;_ * &quot;-&quot;??_ ;_ @_ "/>
    <numFmt numFmtId="164" formatCode="0.0%"/>
    <numFmt numFmtId="165" formatCode="_ * #,##0_ ;_ * \-#,##0_ ;_ * &quot;-&quot;??_ ;_ @_ "/>
    <numFmt numFmtId="166" formatCode="#,##0.00000000000000"/>
    <numFmt numFmtId="167" formatCode="#,##0_ ;[Red]\-#,##0\ "/>
  </numFmts>
  <fonts count="45" x14ac:knownFonts="1">
    <font>
      <sz val="11"/>
      <color theme="1"/>
      <name val="Calibri"/>
      <family val="2"/>
      <scheme val="minor"/>
    </font>
    <font>
      <b/>
      <sz val="10"/>
      <color indexed="9"/>
      <name val="Arial"/>
      <family val="2"/>
    </font>
    <font>
      <sz val="8"/>
      <name val="Arial"/>
      <family val="2"/>
    </font>
    <font>
      <i/>
      <sz val="8"/>
      <name val="Arial"/>
      <family val="2"/>
    </font>
    <font>
      <u/>
      <sz val="10"/>
      <color indexed="12"/>
      <name val="Arial"/>
      <family val="2"/>
    </font>
    <font>
      <u/>
      <sz val="8"/>
      <color indexed="12"/>
      <name val="Arial"/>
      <family val="2"/>
    </font>
    <font>
      <sz val="8"/>
      <name val="Tahoma"/>
      <family val="2"/>
    </font>
    <font>
      <sz val="8"/>
      <color indexed="81"/>
      <name val="Tahoma"/>
      <family val="2"/>
    </font>
    <font>
      <sz val="9"/>
      <color indexed="81"/>
      <name val="Tahoma"/>
      <family val="2"/>
    </font>
    <font>
      <b/>
      <sz val="8"/>
      <name val="Arial"/>
      <family val="2"/>
    </font>
    <font>
      <sz val="8"/>
      <color indexed="10"/>
      <name val="Arial"/>
      <family val="2"/>
    </font>
    <font>
      <sz val="9"/>
      <name val="Arial"/>
      <family val="2"/>
    </font>
    <font>
      <b/>
      <sz val="9"/>
      <name val="Arial"/>
      <family val="2"/>
    </font>
    <font>
      <sz val="11"/>
      <color indexed="9"/>
      <name val="Arial"/>
      <family val="2"/>
    </font>
    <font>
      <b/>
      <sz val="8"/>
      <color indexed="9"/>
      <name val="Arial"/>
      <family val="2"/>
    </font>
    <font>
      <sz val="8"/>
      <color indexed="9"/>
      <name val="Arial"/>
      <family val="2"/>
    </font>
    <font>
      <u/>
      <sz val="8"/>
      <name val="Arial"/>
      <family val="2"/>
    </font>
    <font>
      <i/>
      <sz val="8"/>
      <color indexed="8"/>
      <name val="Arial"/>
      <family val="2"/>
    </font>
    <font>
      <sz val="10"/>
      <name val="Arial"/>
      <family val="2"/>
    </font>
    <font>
      <b/>
      <sz val="9"/>
      <color indexed="81"/>
      <name val="Tahoma"/>
      <family val="2"/>
    </font>
    <font>
      <sz val="11"/>
      <color theme="1"/>
      <name val="Calibri"/>
      <family val="2"/>
      <scheme val="minor"/>
    </font>
    <font>
      <sz val="9"/>
      <color theme="1"/>
      <name val="Arial"/>
      <family val="2"/>
    </font>
    <font>
      <sz val="11"/>
      <color theme="1"/>
      <name val="Arial"/>
      <family val="2"/>
    </font>
    <font>
      <b/>
      <sz val="10"/>
      <color theme="0"/>
      <name val="Arial"/>
      <family val="2"/>
    </font>
    <font>
      <sz val="13"/>
      <color theme="1"/>
      <name val="Arial"/>
      <family val="2"/>
    </font>
    <font>
      <sz val="10"/>
      <color theme="1"/>
      <name val="Arial"/>
      <family val="2"/>
    </font>
    <font>
      <sz val="8"/>
      <color theme="1"/>
      <name val="Arial"/>
      <family val="2"/>
    </font>
    <font>
      <i/>
      <sz val="8"/>
      <color theme="1"/>
      <name val="Arial"/>
      <family val="2"/>
    </font>
    <font>
      <sz val="8"/>
      <color rgb="FFFF0000"/>
      <name val="Arial"/>
      <family val="2"/>
    </font>
    <font>
      <b/>
      <sz val="8"/>
      <color theme="1"/>
      <name val="Arial"/>
      <family val="2"/>
    </font>
    <font>
      <i/>
      <sz val="8"/>
      <color rgb="FFFF0000"/>
      <name val="Arial"/>
      <family val="2"/>
    </font>
    <font>
      <sz val="8"/>
      <color theme="0"/>
      <name val="Arial"/>
      <family val="2"/>
    </font>
    <font>
      <sz val="8"/>
      <color theme="1"/>
      <name val="Calibri"/>
      <family val="2"/>
      <scheme val="minor"/>
    </font>
    <font>
      <b/>
      <i/>
      <sz val="8"/>
      <color theme="1"/>
      <name val="Arial"/>
      <family val="2"/>
    </font>
    <font>
      <sz val="11"/>
      <color theme="1"/>
      <name val="Calibri"/>
      <family val="2"/>
    </font>
    <font>
      <b/>
      <sz val="8"/>
      <color rgb="FF000000"/>
      <name val="Arial"/>
      <family val="2"/>
    </font>
    <font>
      <sz val="11"/>
      <name val="Calibri"/>
      <family val="2"/>
      <scheme val="minor"/>
    </font>
    <font>
      <sz val="8"/>
      <color rgb="FF000000"/>
      <name val="Arial"/>
      <family val="2"/>
    </font>
    <font>
      <b/>
      <sz val="8"/>
      <color rgb="FFFFFFFF"/>
      <name val="Arial"/>
      <family val="2"/>
    </font>
    <font>
      <sz val="8"/>
      <color rgb="FF5783A1"/>
      <name val="Arial"/>
      <family val="2"/>
    </font>
    <font>
      <b/>
      <sz val="11"/>
      <color theme="1"/>
      <name val="Calibri"/>
      <family val="2"/>
      <scheme val="minor"/>
    </font>
    <font>
      <b/>
      <i/>
      <sz val="8"/>
      <color rgb="FFFF7F00"/>
      <name val="Arial"/>
      <family val="2"/>
    </font>
    <font>
      <b/>
      <i/>
      <sz val="8"/>
      <name val="Arial"/>
      <family val="2"/>
    </font>
    <font>
      <u/>
      <sz val="8"/>
      <color rgb="FF000000"/>
      <name val="Arial"/>
      <family val="2"/>
    </font>
    <font>
      <b/>
      <sz val="8"/>
      <color rgb="FFFF7F00"/>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rgb="FFFFFFCC"/>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ED7D31"/>
        <bgColor indexed="64"/>
      </patternFill>
    </fill>
    <fill>
      <patternFill patternType="solid">
        <fgColor rgb="FFFBE4D5"/>
        <bgColor indexed="64"/>
      </patternFill>
    </fill>
  </fills>
  <borders count="20">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rgb="FFED7D31"/>
      </top>
      <bottom style="medium">
        <color rgb="FFED7D31"/>
      </bottom>
      <diagonal/>
    </border>
    <border>
      <left/>
      <right style="medium">
        <color rgb="FFED7D31"/>
      </right>
      <top style="medium">
        <color rgb="FFED7D31"/>
      </top>
      <bottom style="medium">
        <color rgb="FFED7D31"/>
      </bottom>
      <diagonal/>
    </border>
    <border>
      <left/>
      <right style="medium">
        <color rgb="FFF4B083"/>
      </right>
      <top/>
      <bottom style="medium">
        <color rgb="FFF4B083"/>
      </bottom>
      <diagonal/>
    </border>
    <border>
      <left/>
      <right style="medium">
        <color rgb="FFF4B083"/>
      </right>
      <top/>
      <bottom/>
      <diagonal/>
    </border>
    <border>
      <left style="medium">
        <color rgb="FFED7D31"/>
      </left>
      <right/>
      <top style="medium">
        <color rgb="FFED7D31"/>
      </top>
      <bottom style="medium">
        <color rgb="FFED7D31"/>
      </bottom>
      <diagonal/>
    </border>
    <border>
      <left style="medium">
        <color rgb="FFF4B083"/>
      </left>
      <right style="medium">
        <color rgb="FFF4B083"/>
      </right>
      <top/>
      <bottom style="medium">
        <color rgb="FFF4B083"/>
      </bottom>
      <diagonal/>
    </border>
    <border>
      <left style="medium">
        <color rgb="FFF4B083"/>
      </left>
      <right/>
      <top style="medium">
        <color rgb="FFED7D31"/>
      </top>
      <bottom style="medium">
        <color rgb="FFF4B083"/>
      </bottom>
      <diagonal/>
    </border>
    <border>
      <left style="medium">
        <color rgb="FFF4B083"/>
      </left>
      <right/>
      <top style="medium">
        <color rgb="FFF4B083"/>
      </top>
      <bottom style="medium">
        <color rgb="FFF4B083"/>
      </bottom>
      <diagonal/>
    </border>
  </borders>
  <cellStyleXfs count="6">
    <xf numFmtId="0" fontId="0" fillId="0" borderId="0"/>
    <xf numFmtId="0" fontId="4" fillId="0" borderId="0" applyNumberFormat="0" applyFill="0" applyBorder="0" applyAlignment="0" applyProtection="0">
      <alignment vertical="top"/>
      <protection locked="0"/>
    </xf>
    <xf numFmtId="43" fontId="20"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0" fontId="18" fillId="0" borderId="0"/>
  </cellStyleXfs>
  <cellXfs count="309">
    <xf numFmtId="0" fontId="0" fillId="0" borderId="0" xfId="0"/>
    <xf numFmtId="0" fontId="1" fillId="2" borderId="0" xfId="0" applyFont="1" applyFill="1"/>
    <xf numFmtId="0" fontId="2" fillId="0" borderId="0" xfId="0" applyFont="1"/>
    <xf numFmtId="0" fontId="3" fillId="0" borderId="1" xfId="0" applyFont="1" applyBorder="1"/>
    <xf numFmtId="10" fontId="2" fillId="3" borderId="0" xfId="0" applyNumberFormat="1" applyFont="1" applyFill="1" applyProtection="1">
      <protection locked="0"/>
    </xf>
    <xf numFmtId="10" fontId="2" fillId="0" borderId="0" xfId="0" applyNumberFormat="1" applyFont="1"/>
    <xf numFmtId="10" fontId="2" fillId="5" borderId="0" xfId="0" applyNumberFormat="1" applyFont="1" applyFill="1" applyProtection="1">
      <protection locked="0"/>
    </xf>
    <xf numFmtId="9" fontId="2" fillId="5" borderId="0" xfId="0" applyNumberFormat="1" applyFont="1" applyFill="1" applyProtection="1">
      <protection locked="0"/>
    </xf>
    <xf numFmtId="0" fontId="1" fillId="0" borderId="0" xfId="0" applyFont="1" applyProtection="1">
      <protection locked="0"/>
    </xf>
    <xf numFmtId="0" fontId="9" fillId="0" borderId="0" xfId="0" applyFont="1"/>
    <xf numFmtId="0" fontId="2" fillId="0" borderId="0" xfId="0" applyFont="1" applyAlignment="1">
      <alignment wrapText="1"/>
    </xf>
    <xf numFmtId="0" fontId="9" fillId="0" borderId="0" xfId="0" applyFont="1" applyAlignment="1">
      <alignment wrapText="1"/>
    </xf>
    <xf numFmtId="0" fontId="21" fillId="0" borderId="0" xfId="0" applyFont="1"/>
    <xf numFmtId="3" fontId="21" fillId="0" borderId="0" xfId="0" applyNumberFormat="1" applyFont="1"/>
    <xf numFmtId="3" fontId="21" fillId="0" borderId="0" xfId="0" applyNumberFormat="1" applyFont="1" applyAlignment="1">
      <alignment shrinkToFit="1"/>
    </xf>
    <xf numFmtId="0" fontId="12" fillId="0" borderId="0" xfId="0" applyFont="1"/>
    <xf numFmtId="0" fontId="22" fillId="0" borderId="0" xfId="0" applyFont="1"/>
    <xf numFmtId="0" fontId="13" fillId="2" borderId="0" xfId="0" applyFont="1" applyFill="1"/>
    <xf numFmtId="3" fontId="11" fillId="6" borderId="0" xfId="0" applyNumberFormat="1" applyFont="1" applyFill="1"/>
    <xf numFmtId="0" fontId="23" fillId="7" borderId="0" xfId="0" applyFont="1" applyFill="1"/>
    <xf numFmtId="0" fontId="21" fillId="7" borderId="0" xfId="0" applyFont="1" applyFill="1"/>
    <xf numFmtId="0" fontId="24" fillId="7" borderId="0" xfId="0" applyFont="1" applyFill="1"/>
    <xf numFmtId="0" fontId="24" fillId="0" borderId="0" xfId="0" applyFont="1"/>
    <xf numFmtId="3" fontId="22" fillId="0" borderId="0" xfId="0" applyNumberFormat="1" applyFont="1"/>
    <xf numFmtId="0" fontId="25" fillId="0" borderId="0" xfId="0" applyFont="1"/>
    <xf numFmtId="0" fontId="1" fillId="8" borderId="0" xfId="0" applyFont="1" applyFill="1"/>
    <xf numFmtId="0" fontId="26" fillId="0" borderId="0" xfId="0" applyFont="1"/>
    <xf numFmtId="0" fontId="26" fillId="5" borderId="0" xfId="0" applyFont="1" applyFill="1" applyProtection="1">
      <protection locked="0"/>
    </xf>
    <xf numFmtId="3" fontId="26" fillId="0" borderId="0" xfId="0" applyNumberFormat="1" applyFont="1"/>
    <xf numFmtId="3" fontId="26" fillId="0" borderId="2" xfId="0" applyNumberFormat="1" applyFont="1" applyBorder="1"/>
    <xf numFmtId="9" fontId="26" fillId="5" borderId="0" xfId="0" applyNumberFormat="1" applyFont="1" applyFill="1" applyProtection="1">
      <protection locked="0"/>
    </xf>
    <xf numFmtId="0" fontId="27" fillId="0" borderId="0" xfId="0" applyFont="1" applyAlignment="1">
      <alignment horizontal="right"/>
    </xf>
    <xf numFmtId="0" fontId="27" fillId="0" borderId="0" xfId="0" applyFont="1" applyAlignment="1">
      <alignment horizontal="right" wrapText="1"/>
    </xf>
    <xf numFmtId="3" fontId="26" fillId="5" borderId="0" xfId="0" applyNumberFormat="1" applyFont="1" applyFill="1" applyProtection="1">
      <protection locked="0"/>
    </xf>
    <xf numFmtId="0" fontId="27" fillId="0" borderId="0" xfId="0" applyFont="1"/>
    <xf numFmtId="10" fontId="26" fillId="0" borderId="0" xfId="0" applyNumberFormat="1" applyFont="1"/>
    <xf numFmtId="0" fontId="14" fillId="4" borderId="0" xfId="0" applyFont="1" applyFill="1"/>
    <xf numFmtId="0" fontId="15" fillId="4" borderId="0" xfId="0" applyFont="1" applyFill="1"/>
    <xf numFmtId="3" fontId="26" fillId="3" borderId="0" xfId="0" applyNumberFormat="1" applyFont="1" applyFill="1" applyAlignment="1" applyProtection="1">
      <alignment shrinkToFit="1"/>
      <protection locked="0"/>
    </xf>
    <xf numFmtId="3" fontId="26" fillId="4" borderId="0" xfId="0" applyNumberFormat="1" applyFont="1" applyFill="1" applyAlignment="1">
      <alignment shrinkToFit="1"/>
    </xf>
    <xf numFmtId="3" fontId="26" fillId="0" borderId="0" xfId="0" applyNumberFormat="1" applyFont="1" applyAlignment="1">
      <alignment shrinkToFit="1"/>
    </xf>
    <xf numFmtId="10" fontId="26" fillId="3" borderId="0" xfId="0" applyNumberFormat="1" applyFont="1" applyFill="1" applyAlignment="1" applyProtection="1">
      <alignment shrinkToFit="1"/>
      <protection locked="0"/>
    </xf>
    <xf numFmtId="10" fontId="26" fillId="3" borderId="0" xfId="0" applyNumberFormat="1" applyFont="1" applyFill="1" applyProtection="1">
      <protection locked="0"/>
    </xf>
    <xf numFmtId="0" fontId="26" fillId="0" borderId="0" xfId="0" applyFont="1" applyAlignment="1">
      <alignment shrinkToFit="1"/>
    </xf>
    <xf numFmtId="0" fontId="26" fillId="3" borderId="0" xfId="0" applyFont="1" applyFill="1" applyProtection="1">
      <protection locked="0"/>
    </xf>
    <xf numFmtId="0" fontId="3" fillId="0" borderId="0" xfId="0" applyFont="1"/>
    <xf numFmtId="0" fontId="3" fillId="4" borderId="1" xfId="0" applyFont="1" applyFill="1" applyBorder="1" applyAlignment="1">
      <alignment shrinkToFit="1"/>
    </xf>
    <xf numFmtId="0" fontId="3" fillId="0" borderId="1" xfId="0" applyFont="1" applyBorder="1" applyAlignment="1">
      <alignment shrinkToFit="1"/>
    </xf>
    <xf numFmtId="0" fontId="2" fillId="4" borderId="0" xfId="0" applyFont="1" applyFill="1"/>
    <xf numFmtId="3" fontId="26" fillId="4" borderId="2" xfId="0" applyNumberFormat="1" applyFont="1" applyFill="1" applyBorder="1" applyAlignment="1">
      <alignment shrinkToFit="1"/>
    </xf>
    <xf numFmtId="3" fontId="26" fillId="3" borderId="2" xfId="0" applyNumberFormat="1" applyFont="1" applyFill="1" applyBorder="1" applyAlignment="1" applyProtection="1">
      <alignment shrinkToFit="1"/>
      <protection locked="0"/>
    </xf>
    <xf numFmtId="3" fontId="26" fillId="5" borderId="0" xfId="0" applyNumberFormat="1" applyFont="1" applyFill="1" applyAlignment="1" applyProtection="1">
      <alignment shrinkToFit="1"/>
      <protection locked="0"/>
    </xf>
    <xf numFmtId="3" fontId="9" fillId="0" borderId="0" xfId="0" applyNumberFormat="1" applyFont="1" applyAlignment="1">
      <alignment shrinkToFit="1"/>
    </xf>
    <xf numFmtId="0" fontId="10" fillId="0" borderId="0" xfId="0" applyFont="1" applyAlignment="1">
      <alignment horizontal="right" shrinkToFit="1"/>
    </xf>
    <xf numFmtId="165" fontId="2" fillId="0" borderId="0" xfId="2" applyNumberFormat="1" applyFont="1" applyAlignment="1">
      <alignment horizontal="right" shrinkToFit="1"/>
    </xf>
    <xf numFmtId="165" fontId="2" fillId="0" borderId="0" xfId="0" applyNumberFormat="1" applyFont="1" applyAlignment="1">
      <alignment horizontal="right" shrinkToFit="1"/>
    </xf>
    <xf numFmtId="2" fontId="26" fillId="0" borderId="0" xfId="0" applyNumberFormat="1" applyFont="1" applyAlignment="1">
      <alignment shrinkToFit="1"/>
    </xf>
    <xf numFmtId="0" fontId="3" fillId="4" borderId="1" xfId="0" applyFont="1" applyFill="1" applyBorder="1"/>
    <xf numFmtId="0" fontId="3" fillId="0" borderId="1" xfId="0" applyFont="1" applyBorder="1" applyAlignment="1">
      <alignment horizontal="right"/>
    </xf>
    <xf numFmtId="0" fontId="26" fillId="4" borderId="0" xfId="0" applyFont="1" applyFill="1"/>
    <xf numFmtId="10" fontId="26" fillId="0" borderId="0" xfId="0" applyNumberFormat="1" applyFont="1" applyAlignment="1">
      <alignment shrinkToFit="1"/>
    </xf>
    <xf numFmtId="165" fontId="26" fillId="0" borderId="0" xfId="2" applyNumberFormat="1" applyFont="1" applyProtection="1"/>
    <xf numFmtId="3" fontId="26" fillId="6" borderId="0" xfId="0" applyNumberFormat="1" applyFont="1" applyFill="1"/>
    <xf numFmtId="9" fontId="26" fillId="4" borderId="0" xfId="0" applyNumberFormat="1" applyFont="1" applyFill="1"/>
    <xf numFmtId="3" fontId="26" fillId="4" borderId="0" xfId="0" applyNumberFormat="1" applyFont="1" applyFill="1"/>
    <xf numFmtId="0" fontId="3" fillId="4" borderId="0" xfId="0" applyFont="1" applyFill="1"/>
    <xf numFmtId="0" fontId="3" fillId="4" borderId="1" xfId="0" applyFont="1" applyFill="1" applyBorder="1" applyAlignment="1">
      <alignment horizontal="right"/>
    </xf>
    <xf numFmtId="0" fontId="26" fillId="4" borderId="0" xfId="0" applyFont="1" applyFill="1" applyAlignment="1">
      <alignment shrinkToFit="1"/>
    </xf>
    <xf numFmtId="0" fontId="2" fillId="0" borderId="3" xfId="0" applyFont="1" applyBorder="1"/>
    <xf numFmtId="10" fontId="2" fillId="4" borderId="0" xfId="3" applyNumberFormat="1" applyFont="1" applyFill="1" applyProtection="1"/>
    <xf numFmtId="3" fontId="2" fillId="4" borderId="0" xfId="0" applyNumberFormat="1" applyFont="1" applyFill="1"/>
    <xf numFmtId="165" fontId="2" fillId="4" borderId="0" xfId="2" applyNumberFormat="1" applyFont="1" applyFill="1" applyProtection="1"/>
    <xf numFmtId="165" fontId="3" fillId="4" borderId="1" xfId="2" applyNumberFormat="1" applyFont="1" applyFill="1" applyBorder="1" applyProtection="1"/>
    <xf numFmtId="0" fontId="26" fillId="4" borderId="1" xfId="0" applyFont="1" applyFill="1" applyBorder="1"/>
    <xf numFmtId="165" fontId="26" fillId="4" borderId="0" xfId="2" applyNumberFormat="1" applyFont="1" applyFill="1" applyProtection="1"/>
    <xf numFmtId="3" fontId="26" fillId="4" borderId="2" xfId="0" applyNumberFormat="1" applyFont="1" applyFill="1" applyBorder="1"/>
    <xf numFmtId="0" fontId="2" fillId="0" borderId="0" xfId="0" applyFont="1" applyAlignment="1">
      <alignment horizontal="right"/>
    </xf>
    <xf numFmtId="3" fontId="3" fillId="6" borderId="0" xfId="0" applyNumberFormat="1" applyFont="1" applyFill="1"/>
    <xf numFmtId="3" fontId="26" fillId="3" borderId="0" xfId="0" applyNumberFormat="1" applyFont="1" applyFill="1" applyProtection="1">
      <protection locked="0"/>
    </xf>
    <xf numFmtId="10" fontId="26" fillId="5" borderId="0" xfId="0" applyNumberFormat="1" applyFont="1" applyFill="1" applyAlignment="1" applyProtection="1">
      <alignment shrinkToFit="1"/>
      <protection locked="0"/>
    </xf>
    <xf numFmtId="164" fontId="26" fillId="3" borderId="0" xfId="3" applyNumberFormat="1" applyFont="1" applyFill="1" applyBorder="1" applyProtection="1">
      <protection locked="0"/>
    </xf>
    <xf numFmtId="164" fontId="26" fillId="0" borderId="0" xfId="3" applyNumberFormat="1" applyFont="1" applyFill="1" applyBorder="1" applyAlignment="1" applyProtection="1"/>
    <xf numFmtId="1" fontId="26" fillId="0" borderId="0" xfId="0" applyNumberFormat="1" applyFont="1"/>
    <xf numFmtId="0" fontId="26" fillId="0" borderId="0" xfId="0" applyFont="1" applyAlignment="1">
      <alignment wrapText="1"/>
    </xf>
    <xf numFmtId="0" fontId="3" fillId="0" borderId="0" xfId="0" applyFont="1" applyAlignment="1">
      <alignment horizontal="right"/>
    </xf>
    <xf numFmtId="164" fontId="27" fillId="3" borderId="0" xfId="3" applyNumberFormat="1" applyFont="1" applyFill="1" applyBorder="1" applyProtection="1">
      <protection locked="0"/>
    </xf>
    <xf numFmtId="164" fontId="27" fillId="0" borderId="0" xfId="3" applyNumberFormat="1" applyFont="1" applyFill="1" applyBorder="1" applyAlignment="1" applyProtection="1"/>
    <xf numFmtId="0" fontId="29" fillId="0" borderId="0" xfId="0" applyFont="1"/>
    <xf numFmtId="0" fontId="25" fillId="8" borderId="0" xfId="0" applyFont="1" applyFill="1"/>
    <xf numFmtId="164" fontId="26" fillId="0" borderId="0" xfId="3" applyNumberFormat="1" applyFont="1" applyFill="1" applyBorder="1" applyProtection="1"/>
    <xf numFmtId="164" fontId="27" fillId="0" borderId="0" xfId="3" applyNumberFormat="1" applyFont="1" applyProtection="1"/>
    <xf numFmtId="164" fontId="26" fillId="0" borderId="0" xfId="3" applyNumberFormat="1" applyFont="1" applyProtection="1"/>
    <xf numFmtId="164" fontId="26" fillId="0" borderId="0" xfId="0" applyNumberFormat="1" applyFont="1"/>
    <xf numFmtId="0" fontId="3" fillId="5" borderId="0" xfId="0" applyFont="1" applyFill="1" applyProtection="1">
      <protection locked="0"/>
    </xf>
    <xf numFmtId="3" fontId="27" fillId="5" borderId="0" xfId="0" applyNumberFormat="1" applyFont="1" applyFill="1" applyProtection="1">
      <protection locked="0"/>
    </xf>
    <xf numFmtId="164" fontId="29" fillId="0" borderId="0" xfId="3" applyNumberFormat="1" applyFont="1" applyProtection="1"/>
    <xf numFmtId="164" fontId="29" fillId="0" borderId="0" xfId="3" applyNumberFormat="1" applyFont="1" applyFill="1" applyBorder="1" applyAlignment="1" applyProtection="1"/>
    <xf numFmtId="0" fontId="2" fillId="5" borderId="0" xfId="0" applyFont="1" applyFill="1" applyProtection="1">
      <protection locked="0"/>
    </xf>
    <xf numFmtId="0" fontId="3" fillId="9" borderId="0" xfId="0" applyFont="1" applyFill="1"/>
    <xf numFmtId="0" fontId="27" fillId="9" borderId="0" xfId="0" applyFont="1" applyFill="1"/>
    <xf numFmtId="10" fontId="26" fillId="0" borderId="0" xfId="3" applyNumberFormat="1" applyFont="1"/>
    <xf numFmtId="0" fontId="28" fillId="0" borderId="0" xfId="0" applyFont="1" applyAlignment="1">
      <alignment horizontal="right"/>
    </xf>
    <xf numFmtId="3" fontId="29" fillId="0" borderId="0" xfId="0" applyNumberFormat="1" applyFont="1"/>
    <xf numFmtId="0" fontId="26" fillId="9" borderId="0" xfId="0" applyFont="1" applyFill="1"/>
    <xf numFmtId="0" fontId="2" fillId="5" borderId="0" xfId="0" applyFont="1" applyFill="1" applyAlignment="1" applyProtection="1">
      <alignment horizontal="right"/>
      <protection locked="0"/>
    </xf>
    <xf numFmtId="10" fontId="27" fillId="5" borderId="0" xfId="3" applyNumberFormat="1" applyFont="1" applyFill="1" applyBorder="1" applyAlignment="1" applyProtection="1">
      <alignment shrinkToFit="1"/>
      <protection locked="0"/>
    </xf>
    <xf numFmtId="0" fontId="0" fillId="2" borderId="0" xfId="0" applyFill="1"/>
    <xf numFmtId="0" fontId="4" fillId="0" borderId="0" xfId="1" applyFill="1" applyAlignment="1" applyProtection="1">
      <alignment wrapText="1"/>
    </xf>
    <xf numFmtId="0" fontId="9" fillId="0" borderId="0" xfId="0" applyFont="1" applyAlignment="1" applyProtection="1">
      <alignment wrapText="1"/>
      <protection locked="0"/>
    </xf>
    <xf numFmtId="9" fontId="26" fillId="0" borderId="0" xfId="3" applyFont="1"/>
    <xf numFmtId="10" fontId="26" fillId="5" borderId="0" xfId="3" applyNumberFormat="1" applyFont="1" applyFill="1" applyProtection="1">
      <protection locked="0"/>
    </xf>
    <xf numFmtId="0" fontId="26" fillId="0" borderId="0" xfId="0" applyFont="1" applyProtection="1">
      <protection locked="0"/>
    </xf>
    <xf numFmtId="165" fontId="26" fillId="0" borderId="0" xfId="2" applyNumberFormat="1" applyFont="1" applyFill="1" applyBorder="1" applyAlignment="1" applyProtection="1"/>
    <xf numFmtId="165" fontId="26" fillId="3" borderId="0" xfId="2" applyNumberFormat="1" applyFont="1" applyFill="1" applyBorder="1" applyProtection="1">
      <protection locked="0"/>
    </xf>
    <xf numFmtId="165" fontId="3" fillId="9" borderId="0" xfId="2" applyNumberFormat="1" applyFont="1" applyFill="1" applyBorder="1" applyAlignment="1" applyProtection="1"/>
    <xf numFmtId="165" fontId="27" fillId="5" borderId="0" xfId="2" applyNumberFormat="1" applyFont="1" applyFill="1" applyBorder="1" applyAlignment="1" applyProtection="1">
      <alignment shrinkToFit="1"/>
      <protection locked="0"/>
    </xf>
    <xf numFmtId="165" fontId="26" fillId="5" borderId="0" xfId="2" applyNumberFormat="1" applyFont="1" applyFill="1" applyBorder="1" applyAlignment="1" applyProtection="1">
      <alignment shrinkToFit="1"/>
      <protection locked="0"/>
    </xf>
    <xf numFmtId="165" fontId="2" fillId="0" borderId="0" xfId="2" applyNumberFormat="1" applyFont="1" applyBorder="1" applyAlignment="1" applyProtection="1"/>
    <xf numFmtId="165" fontId="3" fillId="0" borderId="0" xfId="2" applyNumberFormat="1" applyFont="1" applyBorder="1" applyAlignment="1" applyProtection="1"/>
    <xf numFmtId="165" fontId="3" fillId="9" borderId="0" xfId="2" applyNumberFormat="1" applyFont="1" applyFill="1" applyAlignment="1" applyProtection="1"/>
    <xf numFmtId="165" fontId="27" fillId="9" borderId="0" xfId="2" applyNumberFormat="1" applyFont="1" applyFill="1" applyBorder="1" applyAlignment="1" applyProtection="1"/>
    <xf numFmtId="165" fontId="27" fillId="9" borderId="0" xfId="2" applyNumberFormat="1" applyFont="1" applyFill="1" applyBorder="1" applyAlignment="1" applyProtection="1">
      <alignment shrinkToFit="1"/>
    </xf>
    <xf numFmtId="165" fontId="26" fillId="0" borderId="0" xfId="2" applyNumberFormat="1" applyFont="1" applyFill="1" applyBorder="1" applyAlignment="1" applyProtection="1">
      <alignment shrinkToFit="1"/>
    </xf>
    <xf numFmtId="165" fontId="26" fillId="3" borderId="0" xfId="2" applyNumberFormat="1" applyFont="1" applyFill="1" applyBorder="1" applyAlignment="1" applyProtection="1">
      <alignment shrinkToFit="1"/>
      <protection locked="0"/>
    </xf>
    <xf numFmtId="165" fontId="26" fillId="6" borderId="0" xfId="2" applyNumberFormat="1" applyFont="1" applyFill="1" applyBorder="1" applyAlignment="1" applyProtection="1">
      <alignment shrinkToFit="1"/>
    </xf>
    <xf numFmtId="165" fontId="26" fillId="5" borderId="0" xfId="2" applyNumberFormat="1" applyFont="1" applyFill="1" applyProtection="1">
      <protection locked="0"/>
    </xf>
    <xf numFmtId="165" fontId="26" fillId="3" borderId="2" xfId="2" applyNumberFormat="1" applyFont="1" applyFill="1" applyBorder="1" applyProtection="1">
      <protection locked="0"/>
    </xf>
    <xf numFmtId="165" fontId="26" fillId="0" borderId="2" xfId="2" applyNumberFormat="1" applyFont="1" applyBorder="1" applyProtection="1"/>
    <xf numFmtId="165" fontId="29" fillId="0" borderId="0" xfId="2" applyNumberFormat="1" applyFont="1" applyFill="1" applyBorder="1" applyAlignment="1" applyProtection="1">
      <alignment shrinkToFit="1"/>
    </xf>
    <xf numFmtId="165" fontId="27" fillId="5" borderId="0" xfId="2" applyNumberFormat="1" applyFont="1" applyFill="1" applyProtection="1">
      <protection locked="0"/>
    </xf>
    <xf numFmtId="165" fontId="26" fillId="3" borderId="0" xfId="2" applyNumberFormat="1" applyFont="1" applyFill="1" applyBorder="1" applyAlignment="1" applyProtection="1">
      <protection locked="0"/>
    </xf>
    <xf numFmtId="165" fontId="27" fillId="3" borderId="0" xfId="2" applyNumberFormat="1" applyFont="1" applyFill="1" applyBorder="1" applyAlignment="1" applyProtection="1">
      <alignment shrinkToFit="1"/>
      <protection locked="0"/>
    </xf>
    <xf numFmtId="165" fontId="27" fillId="3" borderId="2" xfId="2" applyNumberFormat="1" applyFont="1" applyFill="1" applyBorder="1" applyAlignment="1" applyProtection="1">
      <alignment shrinkToFit="1"/>
      <protection locked="0"/>
    </xf>
    <xf numFmtId="165" fontId="26" fillId="3" borderId="2" xfId="2" applyNumberFormat="1" applyFont="1" applyFill="1" applyBorder="1" applyAlignment="1" applyProtection="1">
      <alignment shrinkToFit="1"/>
      <protection locked="0"/>
    </xf>
    <xf numFmtId="165" fontId="26" fillId="0" borderId="2" xfId="2" applyNumberFormat="1" applyFont="1" applyFill="1" applyBorder="1" applyAlignment="1" applyProtection="1">
      <alignment shrinkToFit="1"/>
    </xf>
    <xf numFmtId="165" fontId="30" fillId="0" borderId="0" xfId="2" applyNumberFormat="1" applyFont="1" applyFill="1" applyBorder="1" applyAlignment="1" applyProtection="1">
      <alignment horizontal="right"/>
    </xf>
    <xf numFmtId="165" fontId="26" fillId="0" borderId="0" xfId="2" applyNumberFormat="1" applyFont="1" applyFill="1" applyBorder="1" applyProtection="1"/>
    <xf numFmtId="165" fontId="27" fillId="9" borderId="0" xfId="2" applyNumberFormat="1" applyFont="1" applyFill="1" applyProtection="1"/>
    <xf numFmtId="165" fontId="2" fillId="5" borderId="0" xfId="2" applyNumberFormat="1" applyFont="1" applyFill="1" applyBorder="1" applyAlignment="1" applyProtection="1">
      <protection locked="0"/>
    </xf>
    <xf numFmtId="165" fontId="2" fillId="5" borderId="2" xfId="2" applyNumberFormat="1" applyFont="1" applyFill="1" applyBorder="1" applyAlignment="1" applyProtection="1">
      <protection locked="0"/>
    </xf>
    <xf numFmtId="165" fontId="26" fillId="5" borderId="2" xfId="2" applyNumberFormat="1" applyFont="1" applyFill="1" applyBorder="1" applyProtection="1">
      <protection locked="0"/>
    </xf>
    <xf numFmtId="165" fontId="26" fillId="5" borderId="2" xfId="2" applyNumberFormat="1" applyFont="1" applyFill="1" applyBorder="1" applyAlignment="1" applyProtection="1">
      <alignment shrinkToFit="1"/>
      <protection locked="0"/>
    </xf>
    <xf numFmtId="165" fontId="26" fillId="0" borderId="4" xfId="2" applyNumberFormat="1" applyFont="1" applyFill="1" applyBorder="1" applyAlignment="1" applyProtection="1">
      <alignment shrinkToFit="1"/>
    </xf>
    <xf numFmtId="165" fontId="26" fillId="5" borderId="2" xfId="0" applyNumberFormat="1" applyFont="1" applyFill="1" applyBorder="1" applyAlignment="1" applyProtection="1">
      <alignment shrinkToFit="1"/>
      <protection locked="0"/>
    </xf>
    <xf numFmtId="165" fontId="2" fillId="0" borderId="0" xfId="0" applyNumberFormat="1" applyFont="1"/>
    <xf numFmtId="165" fontId="27" fillId="5" borderId="2" xfId="2" applyNumberFormat="1" applyFont="1" applyFill="1" applyBorder="1" applyAlignment="1" applyProtection="1">
      <alignment shrinkToFit="1"/>
      <protection locked="0"/>
    </xf>
    <xf numFmtId="0" fontId="31" fillId="7" borderId="0" xfId="0" applyFont="1" applyFill="1"/>
    <xf numFmtId="1" fontId="26" fillId="5" borderId="0" xfId="0" applyNumberFormat="1" applyFont="1" applyFill="1" applyProtection="1">
      <protection locked="0"/>
    </xf>
    <xf numFmtId="9" fontId="26" fillId="0" borderId="0" xfId="0" applyNumberFormat="1" applyFont="1"/>
    <xf numFmtId="0" fontId="32" fillId="0" borderId="0" xfId="0" applyFont="1"/>
    <xf numFmtId="10" fontId="26" fillId="5" borderId="0" xfId="0" applyNumberFormat="1" applyFont="1" applyFill="1" applyProtection="1">
      <protection locked="0"/>
    </xf>
    <xf numFmtId="167" fontId="26" fillId="0" borderId="5" xfId="0" applyNumberFormat="1" applyFont="1" applyBorder="1"/>
    <xf numFmtId="167" fontId="26" fillId="0" borderId="6" xfId="0" applyNumberFormat="1" applyFont="1" applyBorder="1"/>
    <xf numFmtId="1" fontId="29" fillId="0" borderId="0" xfId="0" applyNumberFormat="1" applyFont="1" applyProtection="1">
      <protection locked="0"/>
    </xf>
    <xf numFmtId="10" fontId="26" fillId="0" borderId="2" xfId="0" applyNumberFormat="1" applyFont="1" applyBorder="1" applyProtection="1">
      <protection locked="0"/>
    </xf>
    <xf numFmtId="1" fontId="26" fillId="0" borderId="7" xfId="0" applyNumberFormat="1" applyFont="1" applyBorder="1" applyProtection="1">
      <protection locked="0"/>
    </xf>
    <xf numFmtId="0" fontId="0" fillId="0" borderId="8" xfId="0" applyBorder="1"/>
    <xf numFmtId="0" fontId="0" fillId="0" borderId="3" xfId="0" applyBorder="1"/>
    <xf numFmtId="10" fontId="26" fillId="0" borderId="9" xfId="0" applyNumberFormat="1" applyFont="1" applyBorder="1" applyProtection="1">
      <protection locked="0"/>
    </xf>
    <xf numFmtId="1" fontId="26" fillId="0" borderId="9" xfId="0" applyNumberFormat="1" applyFont="1" applyBorder="1" applyProtection="1">
      <protection locked="0"/>
    </xf>
    <xf numFmtId="1" fontId="29" fillId="0" borderId="7" xfId="0" applyNumberFormat="1" applyFont="1" applyBorder="1" applyProtection="1">
      <protection locked="0"/>
    </xf>
    <xf numFmtId="10" fontId="29" fillId="0" borderId="2" xfId="0" applyNumberFormat="1" applyFont="1" applyBorder="1" applyProtection="1">
      <protection locked="0"/>
    </xf>
    <xf numFmtId="167" fontId="29" fillId="0" borderId="5" xfId="0" applyNumberFormat="1" applyFont="1" applyBorder="1"/>
    <xf numFmtId="0" fontId="27" fillId="0" borderId="3" xfId="0" applyFont="1" applyBorder="1"/>
    <xf numFmtId="0" fontId="27" fillId="0" borderId="10" xfId="0" applyFont="1" applyBorder="1"/>
    <xf numFmtId="0" fontId="34" fillId="10" borderId="12" xfId="0" applyFont="1" applyFill="1" applyBorder="1" applyAlignment="1">
      <alignment vertical="top"/>
    </xf>
    <xf numFmtId="0" fontId="35" fillId="10" borderId="12" xfId="0" applyFont="1" applyFill="1" applyBorder="1" applyAlignment="1">
      <alignment vertical="center" wrapText="1"/>
    </xf>
    <xf numFmtId="0" fontId="36" fillId="0" borderId="0" xfId="0" applyFont="1" applyAlignment="1">
      <alignment wrapText="1"/>
    </xf>
    <xf numFmtId="0" fontId="35" fillId="10" borderId="13" xfId="0" applyFont="1" applyFill="1" applyBorder="1" applyAlignment="1">
      <alignment vertical="center" wrapText="1"/>
    </xf>
    <xf numFmtId="0" fontId="37" fillId="11" borderId="14" xfId="0" applyFont="1" applyFill="1" applyBorder="1" applyAlignment="1">
      <alignment vertical="center"/>
    </xf>
    <xf numFmtId="10" fontId="37" fillId="11" borderId="14" xfId="3" applyNumberFormat="1" applyFont="1" applyFill="1" applyBorder="1" applyAlignment="1">
      <alignment horizontal="right" vertical="center"/>
    </xf>
    <xf numFmtId="10" fontId="2" fillId="0" borderId="0" xfId="0" applyNumberFormat="1" applyFont="1" applyAlignment="1">
      <alignment horizontal="right" vertical="center"/>
    </xf>
    <xf numFmtId="3" fontId="37" fillId="11" borderId="14" xfId="0" applyNumberFormat="1" applyFont="1" applyFill="1" applyBorder="1" applyAlignment="1">
      <alignment vertical="center"/>
    </xf>
    <xf numFmtId="0" fontId="37" fillId="11" borderId="14" xfId="0" applyFont="1" applyFill="1" applyBorder="1" applyAlignment="1">
      <alignment horizontal="right" vertical="center"/>
    </xf>
    <xf numFmtId="9" fontId="37" fillId="11" borderId="14" xfId="0" applyNumberFormat="1" applyFont="1" applyFill="1" applyBorder="1" applyAlignment="1">
      <alignment horizontal="right" vertical="center"/>
    </xf>
    <xf numFmtId="0" fontId="37" fillId="0" borderId="14" xfId="0" applyFont="1" applyBorder="1" applyAlignment="1">
      <alignment vertical="center"/>
    </xf>
    <xf numFmtId="10" fontId="37" fillId="0" borderId="14" xfId="3" applyNumberFormat="1" applyFont="1" applyBorder="1" applyAlignment="1">
      <alignment horizontal="right" vertical="center"/>
    </xf>
    <xf numFmtId="10" fontId="0" fillId="0" borderId="0" xfId="3" applyNumberFormat="1" applyFont="1"/>
    <xf numFmtId="3" fontId="37" fillId="0" borderId="14" xfId="0" applyNumberFormat="1" applyFont="1" applyBorder="1" applyAlignment="1">
      <alignment vertical="center"/>
    </xf>
    <xf numFmtId="0" fontId="37" fillId="0" borderId="14" xfId="0" applyFont="1" applyBorder="1" applyAlignment="1">
      <alignment horizontal="right" vertical="center"/>
    </xf>
    <xf numFmtId="9" fontId="37" fillId="0" borderId="14" xfId="0" applyNumberFormat="1" applyFont="1" applyBorder="1" applyAlignment="1">
      <alignment horizontal="right" vertical="center"/>
    </xf>
    <xf numFmtId="0" fontId="37" fillId="0" borderId="15" xfId="0" applyFont="1" applyBorder="1" applyAlignment="1">
      <alignment vertical="center"/>
    </xf>
    <xf numFmtId="10" fontId="0" fillId="0" borderId="0" xfId="0" applyNumberFormat="1"/>
    <xf numFmtId="0" fontId="38" fillId="10" borderId="16" xfId="0" applyFont="1" applyFill="1" applyBorder="1" applyAlignment="1">
      <alignment vertical="center"/>
    </xf>
    <xf numFmtId="0" fontId="38" fillId="10" borderId="12" xfId="0" applyFont="1" applyFill="1" applyBorder="1" applyAlignment="1">
      <alignment vertical="center"/>
    </xf>
    <xf numFmtId="0" fontId="38" fillId="10" borderId="12" xfId="0" applyFont="1" applyFill="1" applyBorder="1" applyAlignment="1">
      <alignment vertical="center" wrapText="1"/>
    </xf>
    <xf numFmtId="0" fontId="29" fillId="0" borderId="17" xfId="0" applyFont="1" applyBorder="1" applyAlignment="1">
      <alignment vertical="center"/>
    </xf>
    <xf numFmtId="0" fontId="29" fillId="0" borderId="14" xfId="0" applyFont="1" applyBorder="1" applyAlignment="1">
      <alignment vertical="center"/>
    </xf>
    <xf numFmtId="165" fontId="37" fillId="11" borderId="14" xfId="2" applyNumberFormat="1" applyFont="1" applyFill="1" applyBorder="1" applyAlignment="1">
      <alignment horizontal="right" vertical="center"/>
    </xf>
    <xf numFmtId="0" fontId="35" fillId="11" borderId="17" xfId="0" applyFont="1" applyFill="1" applyBorder="1" applyAlignment="1">
      <alignment vertical="center"/>
    </xf>
    <xf numFmtId="10" fontId="37" fillId="11" borderId="14" xfId="0" applyNumberFormat="1" applyFont="1" applyFill="1" applyBorder="1" applyAlignment="1">
      <alignment horizontal="right" vertical="center"/>
    </xf>
    <xf numFmtId="10" fontId="37" fillId="11" borderId="18" xfId="0" applyNumberFormat="1" applyFont="1" applyFill="1" applyBorder="1" applyAlignment="1">
      <alignment vertical="center"/>
    </xf>
    <xf numFmtId="165" fontId="26" fillId="0" borderId="14" xfId="2" applyNumberFormat="1" applyFont="1" applyBorder="1" applyAlignment="1">
      <alignment horizontal="right" vertical="center"/>
    </xf>
    <xf numFmtId="10" fontId="26" fillId="0" borderId="14" xfId="0" applyNumberFormat="1" applyFont="1" applyBorder="1" applyAlignment="1">
      <alignment horizontal="right" vertical="center"/>
    </xf>
    <xf numFmtId="10" fontId="26" fillId="0" borderId="19" xfId="0" applyNumberFormat="1" applyFont="1" applyBorder="1" applyAlignment="1">
      <alignment vertical="center"/>
    </xf>
    <xf numFmtId="10" fontId="37" fillId="11" borderId="19" xfId="0" applyNumberFormat="1" applyFont="1" applyFill="1" applyBorder="1" applyAlignment="1">
      <alignment vertical="center"/>
    </xf>
    <xf numFmtId="0" fontId="26" fillId="6" borderId="0" xfId="0" applyFont="1" applyFill="1"/>
    <xf numFmtId="0" fontId="41" fillId="6" borderId="0" xfId="0" applyFont="1" applyFill="1" applyAlignment="1">
      <alignment vertical="center"/>
    </xf>
    <xf numFmtId="10" fontId="2" fillId="5" borderId="0" xfId="3" applyNumberFormat="1" applyFont="1" applyFill="1" applyProtection="1">
      <protection locked="0"/>
    </xf>
    <xf numFmtId="10" fontId="2" fillId="0" borderId="0" xfId="3" applyNumberFormat="1" applyFont="1"/>
    <xf numFmtId="0" fontId="2" fillId="6" borderId="0" xfId="0" applyFont="1" applyFill="1"/>
    <xf numFmtId="0" fontId="3" fillId="6" borderId="1" xfId="0" applyFont="1" applyFill="1" applyBorder="1"/>
    <xf numFmtId="0" fontId="5" fillId="6" borderId="0" xfId="1" applyFont="1" applyFill="1" applyAlignment="1" applyProtection="1"/>
    <xf numFmtId="0" fontId="6" fillId="6" borderId="0" xfId="0" applyFont="1" applyFill="1"/>
    <xf numFmtId="0" fontId="16" fillId="6" borderId="0" xfId="0" applyFont="1" applyFill="1"/>
    <xf numFmtId="10" fontId="2" fillId="6" borderId="0" xfId="3" applyNumberFormat="1" applyFont="1" applyFill="1" applyAlignment="1" applyProtection="1">
      <alignment horizontal="left"/>
    </xf>
    <xf numFmtId="0" fontId="28" fillId="6" borderId="0" xfId="0" applyFont="1" applyFill="1"/>
    <xf numFmtId="0" fontId="0" fillId="6" borderId="0" xfId="0" applyFill="1"/>
    <xf numFmtId="0" fontId="3" fillId="6" borderId="0" xfId="0" applyFont="1" applyFill="1" applyAlignment="1">
      <alignment horizontal="left"/>
    </xf>
    <xf numFmtId="9" fontId="2" fillId="6" borderId="0" xfId="0" applyNumberFormat="1" applyFont="1" applyFill="1" applyAlignment="1">
      <alignment horizontal="left"/>
    </xf>
    <xf numFmtId="10" fontId="2" fillId="6" borderId="0" xfId="0" applyNumberFormat="1" applyFont="1" applyFill="1"/>
    <xf numFmtId="0" fontId="39" fillId="6" borderId="0" xfId="0" applyFont="1" applyFill="1"/>
    <xf numFmtId="10" fontId="2" fillId="6" borderId="0" xfId="0" applyNumberFormat="1" applyFont="1" applyFill="1" applyAlignment="1">
      <alignment vertical="top" wrapText="1"/>
    </xf>
    <xf numFmtId="10" fontId="9" fillId="6" borderId="0" xfId="0" applyNumberFormat="1" applyFont="1" applyFill="1" applyAlignment="1">
      <alignment horizontal="left" vertical="top" wrapText="1"/>
    </xf>
    <xf numFmtId="10" fontId="2" fillId="6" borderId="0" xfId="0" applyNumberFormat="1" applyFont="1" applyFill="1" applyAlignment="1">
      <alignment horizontal="center" vertical="top" wrapText="1"/>
    </xf>
    <xf numFmtId="10" fontId="2" fillId="6" borderId="0" xfId="0" applyNumberFormat="1" applyFont="1" applyFill="1" applyAlignment="1">
      <alignment horizontal="left" vertical="center" wrapText="1"/>
    </xf>
    <xf numFmtId="0" fontId="2" fillId="6" borderId="0" xfId="0" applyFont="1" applyFill="1" applyAlignment="1">
      <alignment horizontal="left" vertical="center" wrapText="1"/>
    </xf>
    <xf numFmtId="0" fontId="2" fillId="6" borderId="0" xfId="0" applyFont="1" applyFill="1" applyAlignment="1">
      <alignment horizontal="left" vertical="center"/>
    </xf>
    <xf numFmtId="0" fontId="39" fillId="6" borderId="0" xfId="0" applyFont="1" applyFill="1" applyAlignment="1">
      <alignment horizontal="center"/>
    </xf>
    <xf numFmtId="10" fontId="9" fillId="6" borderId="0" xfId="0" applyNumberFormat="1" applyFont="1" applyFill="1" applyAlignment="1">
      <alignment horizontal="center" vertical="top" wrapText="1"/>
    </xf>
    <xf numFmtId="0" fontId="9" fillId="6" borderId="0" xfId="0" applyFont="1" applyFill="1"/>
    <xf numFmtId="0" fontId="40" fillId="6" borderId="0" xfId="0" applyFont="1" applyFill="1"/>
    <xf numFmtId="10" fontId="9" fillId="6" borderId="0" xfId="0" applyNumberFormat="1" applyFont="1" applyFill="1" applyAlignment="1">
      <alignment vertical="top" wrapText="1"/>
    </xf>
    <xf numFmtId="10" fontId="2" fillId="6" borderId="0" xfId="3" applyNumberFormat="1" applyFont="1" applyFill="1"/>
    <xf numFmtId="10" fontId="9" fillId="6" borderId="0" xfId="0" applyNumberFormat="1" applyFont="1" applyFill="1"/>
    <xf numFmtId="0" fontId="5" fillId="6" borderId="3" xfId="1" applyFont="1" applyFill="1" applyBorder="1" applyAlignment="1" applyProtection="1">
      <alignment vertical="top" wrapText="1"/>
    </xf>
    <xf numFmtId="0" fontId="0" fillId="6" borderId="7" xfId="0" applyFill="1" applyBorder="1" applyAlignment="1">
      <alignment vertical="top" wrapText="1"/>
    </xf>
    <xf numFmtId="3" fontId="26" fillId="6" borderId="0" xfId="0" applyNumberFormat="1" applyFont="1" applyFill="1" applyAlignment="1">
      <alignment shrinkToFit="1"/>
    </xf>
    <xf numFmtId="0" fontId="21" fillId="6" borderId="0" xfId="0" applyFont="1" applyFill="1"/>
    <xf numFmtId="0" fontId="11" fillId="6" borderId="0" xfId="0" applyFont="1" applyFill="1"/>
    <xf numFmtId="3" fontId="21" fillId="6" borderId="0" xfId="0" applyNumberFormat="1" applyFont="1" applyFill="1"/>
    <xf numFmtId="8" fontId="26" fillId="6" borderId="0" xfId="0" applyNumberFormat="1" applyFont="1" applyFill="1"/>
    <xf numFmtId="10" fontId="26" fillId="6" borderId="0" xfId="0" applyNumberFormat="1" applyFont="1" applyFill="1"/>
    <xf numFmtId="0" fontId="3" fillId="6" borderId="0" xfId="0" applyFont="1" applyFill="1"/>
    <xf numFmtId="0" fontId="3" fillId="6" borderId="1" xfId="0" applyFont="1" applyFill="1" applyBorder="1" applyAlignment="1">
      <alignment horizontal="right"/>
    </xf>
    <xf numFmtId="3" fontId="26" fillId="6" borderId="2" xfId="0" applyNumberFormat="1" applyFont="1" applyFill="1" applyBorder="1" applyAlignment="1">
      <alignment shrinkToFit="1"/>
    </xf>
    <xf numFmtId="0" fontId="2" fillId="6" borderId="0" xfId="0" applyFont="1" applyFill="1" applyAlignment="1">
      <alignment wrapText="1"/>
    </xf>
    <xf numFmtId="165" fontId="26" fillId="6" borderId="0" xfId="2" applyNumberFormat="1" applyFont="1" applyFill="1" applyProtection="1"/>
    <xf numFmtId="3" fontId="2" fillId="6" borderId="0" xfId="0" applyNumberFormat="1" applyFont="1" applyFill="1"/>
    <xf numFmtId="3" fontId="26" fillId="6" borderId="2" xfId="0" applyNumberFormat="1" applyFont="1" applyFill="1" applyBorder="1"/>
    <xf numFmtId="165" fontId="3" fillId="6" borderId="1" xfId="2" applyNumberFormat="1" applyFont="1" applyFill="1" applyBorder="1" applyProtection="1"/>
    <xf numFmtId="0" fontId="26" fillId="6" borderId="1" xfId="0" applyFont="1" applyFill="1" applyBorder="1"/>
    <xf numFmtId="165" fontId="21" fillId="6" borderId="0" xfId="0" applyNumberFormat="1" applyFont="1" applyFill="1"/>
    <xf numFmtId="166" fontId="21" fillId="6" borderId="0" xfId="0" applyNumberFormat="1" applyFont="1" applyFill="1"/>
    <xf numFmtId="0" fontId="41" fillId="0" borderId="0" xfId="0" applyFont="1" applyAlignment="1">
      <alignment vertical="center"/>
    </xf>
    <xf numFmtId="0" fontId="0" fillId="6" borderId="0" xfId="0" applyFill="1" applyAlignment="1">
      <alignment vertical="top" wrapText="1"/>
    </xf>
    <xf numFmtId="0" fontId="27" fillId="6" borderId="3" xfId="0" applyFont="1" applyFill="1" applyBorder="1" applyAlignment="1">
      <alignment vertical="top" wrapText="1"/>
    </xf>
    <xf numFmtId="0" fontId="27" fillId="6" borderId="0" xfId="0" applyFont="1" applyFill="1" applyAlignment="1">
      <alignment vertical="top" wrapText="1"/>
    </xf>
    <xf numFmtId="0" fontId="27" fillId="6" borderId="7" xfId="0" applyFont="1" applyFill="1" applyBorder="1" applyAlignment="1">
      <alignment vertical="top" wrapText="1"/>
    </xf>
    <xf numFmtId="0" fontId="27" fillId="6" borderId="10" xfId="0" applyFont="1" applyFill="1" applyBorder="1" applyAlignment="1">
      <alignment vertical="top" wrapText="1"/>
    </xf>
    <xf numFmtId="0" fontId="27" fillId="6" borderId="2" xfId="0" applyFont="1" applyFill="1" applyBorder="1" applyAlignment="1">
      <alignment vertical="top" wrapText="1"/>
    </xf>
    <xf numFmtId="0" fontId="27" fillId="6" borderId="9" xfId="0" applyFont="1" applyFill="1" applyBorder="1" applyAlignment="1">
      <alignment vertical="top" wrapText="1"/>
    </xf>
    <xf numFmtId="10" fontId="26" fillId="6" borderId="0" xfId="3" applyNumberFormat="1" applyFont="1" applyFill="1"/>
    <xf numFmtId="9" fontId="26" fillId="4" borderId="0" xfId="3" applyFont="1" applyFill="1"/>
    <xf numFmtId="165" fontId="26" fillId="6" borderId="0" xfId="0" applyNumberFormat="1" applyFont="1" applyFill="1"/>
    <xf numFmtId="0" fontId="2" fillId="0" borderId="0" xfId="0" applyFont="1" applyAlignment="1">
      <alignment horizontal="left"/>
    </xf>
    <xf numFmtId="0" fontId="2" fillId="0" borderId="0" xfId="0" applyFont="1" applyAlignment="1">
      <alignment vertical="center"/>
    </xf>
    <xf numFmtId="0" fontId="2" fillId="0" borderId="0" xfId="0" applyFont="1" applyAlignment="1">
      <alignment horizontal="left" wrapText="1"/>
    </xf>
    <xf numFmtId="0" fontId="37" fillId="0" borderId="0" xfId="0" applyFont="1"/>
    <xf numFmtId="3" fontId="26" fillId="6" borderId="4" xfId="0" applyNumberFormat="1" applyFont="1" applyFill="1" applyBorder="1" applyAlignment="1">
      <alignment horizontal="right" shrinkToFit="1"/>
    </xf>
    <xf numFmtId="3" fontId="26" fillId="6" borderId="0" xfId="0" applyNumberFormat="1" applyFont="1" applyFill="1" applyAlignment="1">
      <alignment horizontal="right" shrinkToFit="1"/>
    </xf>
    <xf numFmtId="3" fontId="26" fillId="6" borderId="2" xfId="0" applyNumberFormat="1" applyFont="1" applyFill="1" applyBorder="1" applyAlignment="1">
      <alignment horizontal="right" shrinkToFit="1"/>
    </xf>
    <xf numFmtId="10" fontId="26" fillId="6" borderId="0" xfId="0" applyNumberFormat="1" applyFont="1" applyFill="1" applyAlignment="1">
      <alignment horizontal="right" shrinkToFit="1"/>
    </xf>
    <xf numFmtId="165" fontId="26" fillId="6" borderId="0" xfId="2" applyNumberFormat="1" applyFont="1" applyFill="1" applyAlignment="1">
      <alignment horizontal="right" shrinkToFit="1"/>
    </xf>
    <xf numFmtId="3" fontId="26" fillId="4" borderId="4" xfId="0" applyNumberFormat="1" applyFont="1" applyFill="1" applyBorder="1" applyAlignment="1">
      <alignment horizontal="right" shrinkToFit="1"/>
    </xf>
    <xf numFmtId="3" fontId="26" fillId="4" borderId="0" xfId="0" applyNumberFormat="1" applyFont="1" applyFill="1" applyAlignment="1">
      <alignment horizontal="right" shrinkToFit="1"/>
    </xf>
    <xf numFmtId="3" fontId="26" fillId="4" borderId="2" xfId="0" applyNumberFormat="1" applyFont="1" applyFill="1" applyBorder="1" applyAlignment="1">
      <alignment horizontal="right" shrinkToFit="1"/>
    </xf>
    <xf numFmtId="3" fontId="2" fillId="4" borderId="0" xfId="0" applyNumberFormat="1" applyFont="1" applyFill="1" applyAlignment="1">
      <alignment horizontal="right" shrinkToFit="1"/>
    </xf>
    <xf numFmtId="10" fontId="2" fillId="4" borderId="0" xfId="0" applyNumberFormat="1" applyFont="1" applyFill="1"/>
    <xf numFmtId="10" fontId="2" fillId="6" borderId="0" xfId="0" applyNumberFormat="1" applyFont="1" applyFill="1" applyAlignment="1">
      <alignment vertical="top"/>
    </xf>
    <xf numFmtId="10" fontId="9" fillId="6" borderId="0" xfId="0" applyNumberFormat="1" applyFont="1" applyFill="1" applyAlignment="1">
      <alignment horizontal="center" vertical="top"/>
    </xf>
    <xf numFmtId="0" fontId="44" fillId="6" borderId="0" xfId="0" applyFont="1" applyFill="1" applyAlignment="1">
      <alignment horizontal="center" vertical="center"/>
    </xf>
    <xf numFmtId="0" fontId="28" fillId="0" borderId="0" xfId="0" applyFont="1"/>
    <xf numFmtId="10" fontId="2" fillId="6" borderId="0" xfId="0" applyNumberFormat="1" applyFont="1" applyFill="1" applyAlignment="1">
      <alignment horizontal="left" vertical="top" wrapText="1"/>
    </xf>
    <xf numFmtId="0" fontId="27" fillId="0" borderId="3" xfId="0" applyFont="1" applyBorder="1" applyAlignment="1">
      <alignment horizontal="left" vertical="top" wrapText="1"/>
    </xf>
    <xf numFmtId="0" fontId="27" fillId="0" borderId="0" xfId="0" applyFont="1" applyAlignment="1">
      <alignment horizontal="left" vertical="top" wrapText="1"/>
    </xf>
    <xf numFmtId="0" fontId="27" fillId="0" borderId="7" xfId="0" applyFont="1" applyBorder="1" applyAlignment="1">
      <alignment horizontal="left" vertical="top" wrapText="1"/>
    </xf>
    <xf numFmtId="0" fontId="2" fillId="6" borderId="0" xfId="0" applyFont="1" applyFill="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top" wrapText="1"/>
    </xf>
    <xf numFmtId="0" fontId="0" fillId="0" borderId="4"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3" xfId="0" applyBorder="1" applyAlignment="1">
      <alignment wrapText="1"/>
    </xf>
    <xf numFmtId="0" fontId="0" fillId="0" borderId="0" xfId="0" applyAlignment="1">
      <alignment wrapText="1"/>
    </xf>
    <xf numFmtId="0" fontId="0" fillId="0" borderId="7" xfId="0" applyBorder="1" applyAlignment="1">
      <alignment wrapText="1"/>
    </xf>
    <xf numFmtId="0" fontId="0" fillId="0" borderId="10" xfId="0" applyBorder="1" applyAlignment="1">
      <alignment wrapText="1"/>
    </xf>
    <xf numFmtId="0" fontId="0" fillId="0" borderId="2" xfId="0" applyBorder="1" applyAlignment="1">
      <alignment wrapText="1"/>
    </xf>
    <xf numFmtId="0" fontId="0" fillId="0" borderId="9" xfId="0" applyBorder="1" applyAlignment="1">
      <alignment wrapText="1"/>
    </xf>
    <xf numFmtId="0" fontId="38" fillId="10" borderId="12" xfId="0" applyFont="1" applyFill="1" applyBorder="1" applyAlignment="1">
      <alignment horizontal="center" vertical="center"/>
    </xf>
    <xf numFmtId="0" fontId="27" fillId="0" borderId="0" xfId="0" applyFont="1"/>
    <xf numFmtId="0" fontId="26" fillId="0" borderId="0" xfId="0" applyFont="1"/>
    <xf numFmtId="0" fontId="33" fillId="0" borderId="0" xfId="0" applyFont="1"/>
    <xf numFmtId="0" fontId="27" fillId="0" borderId="4" xfId="0" applyFont="1" applyBorder="1" applyAlignment="1">
      <alignment horizontal="center"/>
    </xf>
    <xf numFmtId="0" fontId="27" fillId="0" borderId="11" xfId="0" applyFont="1" applyBorder="1" applyAlignment="1">
      <alignment horizontal="center"/>
    </xf>
    <xf numFmtId="0" fontId="29" fillId="0" borderId="0" xfId="0" applyFont="1"/>
    <xf numFmtId="0" fontId="26" fillId="6" borderId="0" xfId="0" applyFont="1" applyFill="1"/>
    <xf numFmtId="0" fontId="28" fillId="4" borderId="4" xfId="0" applyFont="1" applyFill="1" applyBorder="1"/>
    <xf numFmtId="0" fontId="28" fillId="4" borderId="0" xfId="0" applyFont="1" applyFill="1"/>
    <xf numFmtId="0" fontId="2" fillId="6" borderId="0" xfId="0" applyFont="1" applyFill="1"/>
    <xf numFmtId="0" fontId="28" fillId="6" borderId="4" xfId="0" applyFont="1" applyFill="1" applyBorder="1"/>
    <xf numFmtId="0" fontId="28" fillId="6" borderId="0" xfId="0" applyFont="1" applyFill="1"/>
  </cellXfs>
  <cellStyles count="6">
    <cellStyle name="Hyperlink" xfId="1" builtinId="8"/>
    <cellStyle name="Komma" xfId="2" builtinId="3"/>
    <cellStyle name="Procent" xfId="3" builtinId="5"/>
    <cellStyle name="Procent 2" xfId="4" xr:uid="{00000000-0005-0000-0000-000003000000}"/>
    <cellStyle name="Standaard" xfId="0" builtinId="0"/>
    <cellStyle name="Standaard 2" xfId="5" xr:uid="{00000000-0005-0000-0000-000005000000}"/>
  </cellStyles>
  <dxfs count="0"/>
  <tableStyles count="1" defaultTableStyle="TableStyleMedium2" defaultPivotStyle="PivotStyleLight16">
    <tableStyle name="Invisible" pivot="0" table="0" count="0" xr9:uid="{FA583C6E-3EB5-4EA1-9253-8AF4CE347F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fas.nl/" TargetMode="External"/><Relationship Id="rId1" Type="http://schemas.openxmlformats.org/officeDocument/2006/relationships/hyperlink" Target="http://www.valuepro.nl/" TargetMode="External"/><Relationship Id="rId4"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8.bin"/><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9.bin"/><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5.bin"/><Relationship Id="rId1" Type="http://schemas.openxmlformats.org/officeDocument/2006/relationships/hyperlink" Target="https://valuepro.nl/rendementseis-niet-beursgenoteerde-onderneminge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IU165"/>
  <sheetViews>
    <sheetView showGridLines="0" showRowColHeaders="0" tabSelected="1" workbookViewId="0">
      <selection activeCell="B1" sqref="B1"/>
    </sheetView>
  </sheetViews>
  <sheetFormatPr defaultColWidth="0" defaultRowHeight="14.6" zeroHeight="1" x14ac:dyDescent="0.4"/>
  <cols>
    <col min="1" max="1" width="2.69140625" customWidth="1"/>
    <col min="2" max="2" width="71.3046875" customWidth="1"/>
    <col min="3" max="3" width="2.69140625" customWidth="1"/>
    <col min="4" max="255" width="9.15234375" hidden="1" customWidth="1"/>
    <col min="256" max="16384" width="6.69140625" hidden="1"/>
  </cols>
  <sheetData>
    <row r="1" spans="2:2" x14ac:dyDescent="0.4">
      <c r="B1" s="25" t="s">
        <v>0</v>
      </c>
    </row>
    <row r="2" spans="2:2" x14ac:dyDescent="0.4">
      <c r="B2" s="8"/>
    </row>
    <row r="3" spans="2:2" ht="12" customHeight="1" x14ac:dyDescent="0.4">
      <c r="B3" s="108" t="s">
        <v>531</v>
      </c>
    </row>
    <row r="4" spans="2:2" ht="12" customHeight="1" x14ac:dyDescent="0.4">
      <c r="B4" s="11" t="s">
        <v>1</v>
      </c>
    </row>
    <row r="5" spans="2:2" ht="12" customHeight="1" x14ac:dyDescent="0.4">
      <c r="B5" s="107" t="s">
        <v>2</v>
      </c>
    </row>
    <row r="6" spans="2:2" ht="12" customHeight="1" x14ac:dyDescent="0.4">
      <c r="B6" s="11" t="s">
        <v>3</v>
      </c>
    </row>
    <row r="7" spans="2:2" ht="12" customHeight="1" x14ac:dyDescent="0.4">
      <c r="B7" s="107" t="s">
        <v>4</v>
      </c>
    </row>
    <row r="8" spans="2:2" ht="12" customHeight="1" x14ac:dyDescent="0.4">
      <c r="B8" s="107"/>
    </row>
    <row r="9" spans="2:2" ht="12" customHeight="1" x14ac:dyDescent="0.4">
      <c r="B9" s="9" t="s">
        <v>5</v>
      </c>
    </row>
    <row r="10" spans="2:2" ht="12" customHeight="1" x14ac:dyDescent="0.4">
      <c r="B10" s="2" t="s">
        <v>6</v>
      </c>
    </row>
    <row r="11" spans="2:2" ht="12" customHeight="1" x14ac:dyDescent="0.4">
      <c r="B11" s="2" t="s">
        <v>7</v>
      </c>
    </row>
    <row r="12" spans="2:2" ht="12" customHeight="1" x14ac:dyDescent="0.4">
      <c r="B12" s="2" t="s">
        <v>8</v>
      </c>
    </row>
    <row r="13" spans="2:2" ht="12" customHeight="1" x14ac:dyDescent="0.4">
      <c r="B13" s="2"/>
    </row>
    <row r="14" spans="2:2" ht="12" customHeight="1" x14ac:dyDescent="0.4">
      <c r="B14" s="2" t="s">
        <v>9</v>
      </c>
    </row>
    <row r="15" spans="2:2" ht="12" customHeight="1" x14ac:dyDescent="0.4">
      <c r="B15" s="2"/>
    </row>
    <row r="16" spans="2:2" ht="12" customHeight="1" x14ac:dyDescent="0.4">
      <c r="B16" s="9" t="s">
        <v>10</v>
      </c>
    </row>
    <row r="17" spans="2:2" ht="12" customHeight="1" x14ac:dyDescent="0.4">
      <c r="B17" s="2" t="s">
        <v>11</v>
      </c>
    </row>
    <row r="18" spans="2:2" ht="12" customHeight="1" x14ac:dyDescent="0.4">
      <c r="B18" s="2" t="s">
        <v>12</v>
      </c>
    </row>
    <row r="19" spans="2:2" ht="12" customHeight="1" x14ac:dyDescent="0.4">
      <c r="B19" s="2" t="s">
        <v>13</v>
      </c>
    </row>
    <row r="20" spans="2:2" ht="12" customHeight="1" x14ac:dyDescent="0.4">
      <c r="B20" s="2" t="s">
        <v>14</v>
      </c>
    </row>
    <row r="21" spans="2:2" ht="12" customHeight="1" x14ac:dyDescent="0.4">
      <c r="B21" s="2" t="s">
        <v>15</v>
      </c>
    </row>
    <row r="22" spans="2:2" ht="12" customHeight="1" x14ac:dyDescent="0.4">
      <c r="B22" s="2" t="s">
        <v>16</v>
      </c>
    </row>
    <row r="23" spans="2:2" ht="12" customHeight="1" x14ac:dyDescent="0.4">
      <c r="B23" s="2" t="s">
        <v>17</v>
      </c>
    </row>
    <row r="24" spans="2:2" ht="12" customHeight="1" x14ac:dyDescent="0.4">
      <c r="B24" s="2" t="s">
        <v>18</v>
      </c>
    </row>
    <row r="25" spans="2:2" ht="12" customHeight="1" x14ac:dyDescent="0.4">
      <c r="B25" s="2" t="s">
        <v>19</v>
      </c>
    </row>
    <row r="26" spans="2:2" ht="12" customHeight="1" x14ac:dyDescent="0.4">
      <c r="B26" s="2" t="s">
        <v>20</v>
      </c>
    </row>
    <row r="27" spans="2:2" ht="12" customHeight="1" x14ac:dyDescent="0.4">
      <c r="B27" s="2"/>
    </row>
    <row r="28" spans="2:2" ht="12" customHeight="1" x14ac:dyDescent="0.4">
      <c r="B28" s="2" t="s">
        <v>21</v>
      </c>
    </row>
    <row r="29" spans="2:2" ht="12" customHeight="1" x14ac:dyDescent="0.4">
      <c r="B29" s="2" t="s">
        <v>22</v>
      </c>
    </row>
    <row r="30" spans="2:2" ht="12" customHeight="1" x14ac:dyDescent="0.4">
      <c r="B30" s="2" t="s">
        <v>23</v>
      </c>
    </row>
    <row r="31" spans="2:2" ht="12" customHeight="1" x14ac:dyDescent="0.4">
      <c r="B31" s="2" t="s">
        <v>24</v>
      </c>
    </row>
    <row r="32" spans="2:2" ht="12" customHeight="1" x14ac:dyDescent="0.4">
      <c r="B32" s="2" t="s">
        <v>25</v>
      </c>
    </row>
    <row r="33" spans="2:2" ht="12" customHeight="1" x14ac:dyDescent="0.4">
      <c r="B33" s="2" t="s">
        <v>26</v>
      </c>
    </row>
    <row r="34" spans="2:2" ht="12" customHeight="1" x14ac:dyDescent="0.4">
      <c r="B34" s="2" t="s">
        <v>27</v>
      </c>
    </row>
    <row r="35" spans="2:2" ht="12" customHeight="1" x14ac:dyDescent="0.4">
      <c r="B35" s="2" t="s">
        <v>28</v>
      </c>
    </row>
    <row r="36" spans="2:2" ht="12" customHeight="1" x14ac:dyDescent="0.4">
      <c r="B36" s="2"/>
    </row>
    <row r="37" spans="2:2" ht="12" customHeight="1" x14ac:dyDescent="0.4">
      <c r="B37" s="258" t="s">
        <v>533</v>
      </c>
    </row>
    <row r="38" spans="2:2" ht="12" customHeight="1" x14ac:dyDescent="0.4">
      <c r="B38" s="2" t="s">
        <v>532</v>
      </c>
    </row>
    <row r="39" spans="2:2" ht="12" customHeight="1" x14ac:dyDescent="0.4">
      <c r="B39" s="2" t="s">
        <v>29</v>
      </c>
    </row>
    <row r="40" spans="2:2" ht="12" customHeight="1" x14ac:dyDescent="0.4">
      <c r="B40" s="2" t="s">
        <v>30</v>
      </c>
    </row>
    <row r="41" spans="2:2" ht="12" customHeight="1" x14ac:dyDescent="0.4">
      <c r="B41" s="2" t="s">
        <v>31</v>
      </c>
    </row>
    <row r="42" spans="2:2" ht="12" customHeight="1" x14ac:dyDescent="0.4">
      <c r="B42" s="2" t="s">
        <v>32</v>
      </c>
    </row>
    <row r="43" spans="2:2" ht="12" customHeight="1" x14ac:dyDescent="0.4">
      <c r="B43" s="2" t="s">
        <v>33</v>
      </c>
    </row>
    <row r="44" spans="2:2" ht="12" customHeight="1" x14ac:dyDescent="0.4">
      <c r="B44" s="2" t="s">
        <v>34</v>
      </c>
    </row>
    <row r="45" spans="2:2" ht="12" customHeight="1" x14ac:dyDescent="0.4">
      <c r="B45" s="2" t="s">
        <v>35</v>
      </c>
    </row>
    <row r="46" spans="2:2" ht="12" customHeight="1" x14ac:dyDescent="0.4">
      <c r="B46" s="2"/>
    </row>
    <row r="47" spans="2:2" ht="12" customHeight="1" x14ac:dyDescent="0.4">
      <c r="B47" s="2" t="s">
        <v>36</v>
      </c>
    </row>
    <row r="48" spans="2:2" ht="12" customHeight="1" x14ac:dyDescent="0.4">
      <c r="B48" s="2" t="s">
        <v>37</v>
      </c>
    </row>
    <row r="49" spans="2:2" ht="12" customHeight="1" x14ac:dyDescent="0.4">
      <c r="B49" s="2"/>
    </row>
    <row r="50" spans="2:2" ht="12" customHeight="1" x14ac:dyDescent="0.4">
      <c r="B50" s="2" t="s">
        <v>38</v>
      </c>
    </row>
    <row r="51" spans="2:2" ht="12" customHeight="1" x14ac:dyDescent="0.4">
      <c r="B51" s="2" t="s">
        <v>39</v>
      </c>
    </row>
    <row r="52" spans="2:2" ht="12" customHeight="1" x14ac:dyDescent="0.4">
      <c r="B52" s="2" t="s">
        <v>40</v>
      </c>
    </row>
    <row r="53" spans="2:2" ht="12" customHeight="1" x14ac:dyDescent="0.4">
      <c r="B53" s="2" t="s">
        <v>41</v>
      </c>
    </row>
    <row r="54" spans="2:2" ht="12" customHeight="1" x14ac:dyDescent="0.4">
      <c r="B54" s="2" t="s">
        <v>42</v>
      </c>
    </row>
    <row r="55" spans="2:2" ht="12" customHeight="1" x14ac:dyDescent="0.4">
      <c r="B55" s="2" t="s">
        <v>43</v>
      </c>
    </row>
    <row r="56" spans="2:2" ht="12" customHeight="1" x14ac:dyDescent="0.4">
      <c r="B56" s="2" t="s">
        <v>44</v>
      </c>
    </row>
    <row r="57" spans="2:2" ht="12" customHeight="1" x14ac:dyDescent="0.4">
      <c r="B57" s="2" t="s">
        <v>45</v>
      </c>
    </row>
    <row r="58" spans="2:2" ht="12" customHeight="1" x14ac:dyDescent="0.4">
      <c r="B58" s="2" t="s">
        <v>46</v>
      </c>
    </row>
    <row r="59" spans="2:2" ht="12" customHeight="1" x14ac:dyDescent="0.4">
      <c r="B59" s="2" t="s">
        <v>47</v>
      </c>
    </row>
    <row r="60" spans="2:2" ht="12" customHeight="1" x14ac:dyDescent="0.4">
      <c r="B60" s="2" t="s">
        <v>48</v>
      </c>
    </row>
    <row r="61" spans="2:2" ht="12" customHeight="1" x14ac:dyDescent="0.4">
      <c r="B61" s="2" t="s">
        <v>49</v>
      </c>
    </row>
    <row r="62" spans="2:2" ht="12" customHeight="1" x14ac:dyDescent="0.4">
      <c r="B62" s="2"/>
    </row>
    <row r="63" spans="2:2" ht="12" customHeight="1" x14ac:dyDescent="0.4">
      <c r="B63" s="9" t="s">
        <v>50</v>
      </c>
    </row>
    <row r="64" spans="2:2" ht="12" customHeight="1" x14ac:dyDescent="0.4">
      <c r="B64" s="2" t="s">
        <v>51</v>
      </c>
    </row>
    <row r="65" spans="2:2" ht="12" customHeight="1" x14ac:dyDescent="0.4">
      <c r="B65" s="256" t="s">
        <v>52</v>
      </c>
    </row>
    <row r="66" spans="2:2" ht="12" customHeight="1" x14ac:dyDescent="0.4">
      <c r="B66" s="256" t="s">
        <v>53</v>
      </c>
    </row>
    <row r="67" spans="2:2" ht="12" customHeight="1" x14ac:dyDescent="0.4">
      <c r="B67" s="256" t="s">
        <v>54</v>
      </c>
    </row>
    <row r="68" spans="2:2" ht="12" customHeight="1" x14ac:dyDescent="0.4">
      <c r="B68" s="256" t="s">
        <v>55</v>
      </c>
    </row>
    <row r="69" spans="2:2" ht="12" customHeight="1" x14ac:dyDescent="0.4">
      <c r="B69" s="257"/>
    </row>
    <row r="70" spans="2:2" ht="12" customHeight="1" x14ac:dyDescent="0.4">
      <c r="B70" s="2" t="s">
        <v>56</v>
      </c>
    </row>
    <row r="71" spans="2:2" ht="12" customHeight="1" x14ac:dyDescent="0.4">
      <c r="B71" s="2" t="s">
        <v>57</v>
      </c>
    </row>
    <row r="72" spans="2:2" ht="12" customHeight="1" x14ac:dyDescent="0.4">
      <c r="B72" s="2" t="s">
        <v>58</v>
      </c>
    </row>
    <row r="73" spans="2:2" ht="12" customHeight="1" x14ac:dyDescent="0.4">
      <c r="B73" s="2" t="s">
        <v>59</v>
      </c>
    </row>
    <row r="74" spans="2:2" ht="12" customHeight="1" x14ac:dyDescent="0.4">
      <c r="B74" s="2"/>
    </row>
    <row r="75" spans="2:2" ht="12" customHeight="1" x14ac:dyDescent="0.4">
      <c r="B75" s="9" t="s">
        <v>60</v>
      </c>
    </row>
    <row r="76" spans="2:2" ht="12" customHeight="1" x14ac:dyDescent="0.4">
      <c r="B76" s="2" t="s">
        <v>61</v>
      </c>
    </row>
    <row r="77" spans="2:2" ht="12" customHeight="1" x14ac:dyDescent="0.4">
      <c r="B77" s="2" t="s">
        <v>62</v>
      </c>
    </row>
    <row r="78" spans="2:2" ht="12" customHeight="1" x14ac:dyDescent="0.4">
      <c r="B78" s="2" t="s">
        <v>63</v>
      </c>
    </row>
    <row r="79" spans="2:2" ht="12" customHeight="1" x14ac:dyDescent="0.4">
      <c r="B79" s="2"/>
    </row>
    <row r="80" spans="2:2" ht="12" customHeight="1" x14ac:dyDescent="0.4">
      <c r="B80" s="2" t="s">
        <v>64</v>
      </c>
    </row>
    <row r="81" spans="2:2" ht="12" customHeight="1" x14ac:dyDescent="0.4">
      <c r="B81" s="2" t="s">
        <v>65</v>
      </c>
    </row>
    <row r="82" spans="2:2" ht="12" customHeight="1" x14ac:dyDescent="0.4">
      <c r="B82" s="2" t="s">
        <v>66</v>
      </c>
    </row>
    <row r="83" spans="2:2" ht="12" customHeight="1" x14ac:dyDescent="0.4">
      <c r="B83" s="2" t="s">
        <v>67</v>
      </c>
    </row>
    <row r="84" spans="2:2" ht="12" customHeight="1" x14ac:dyDescent="0.4">
      <c r="B84" s="2" t="s">
        <v>68</v>
      </c>
    </row>
    <row r="85" spans="2:2" ht="12" customHeight="1" x14ac:dyDescent="0.4">
      <c r="B85" s="2"/>
    </row>
    <row r="86" spans="2:2" ht="12" customHeight="1" x14ac:dyDescent="0.4">
      <c r="B86" s="9" t="s">
        <v>69</v>
      </c>
    </row>
    <row r="87" spans="2:2" ht="12" customHeight="1" x14ac:dyDescent="0.4">
      <c r="B87" s="2" t="s">
        <v>70</v>
      </c>
    </row>
    <row r="88" spans="2:2" ht="12" customHeight="1" x14ac:dyDescent="0.4">
      <c r="B88" s="2" t="s">
        <v>71</v>
      </c>
    </row>
    <row r="89" spans="2:2" ht="12" customHeight="1" x14ac:dyDescent="0.4">
      <c r="B89" s="2" t="s">
        <v>72</v>
      </c>
    </row>
    <row r="90" spans="2:2" ht="12" customHeight="1" x14ac:dyDescent="0.4">
      <c r="B90" s="2" t="s">
        <v>73</v>
      </c>
    </row>
    <row r="91" spans="2:2" ht="12" customHeight="1" x14ac:dyDescent="0.4">
      <c r="B91" s="10" t="s">
        <v>74</v>
      </c>
    </row>
    <row r="92" spans="2:2" ht="12" customHeight="1" x14ac:dyDescent="0.4">
      <c r="B92" s="2" t="s">
        <v>75</v>
      </c>
    </row>
    <row r="93" spans="2:2" ht="12" customHeight="1" x14ac:dyDescent="0.4">
      <c r="B93" s="2" t="s">
        <v>76</v>
      </c>
    </row>
    <row r="94" spans="2:2" ht="12" customHeight="1" x14ac:dyDescent="0.4">
      <c r="B94" s="2" t="s">
        <v>77</v>
      </c>
    </row>
    <row r="95" spans="2:2" ht="12" customHeight="1" x14ac:dyDescent="0.4">
      <c r="B95" s="2"/>
    </row>
    <row r="96" spans="2:2" ht="12" customHeight="1" x14ac:dyDescent="0.4">
      <c r="B96" s="2" t="s">
        <v>78</v>
      </c>
    </row>
    <row r="97" spans="2:2" ht="12" customHeight="1" x14ac:dyDescent="0.4">
      <c r="B97" s="2"/>
    </row>
    <row r="98" spans="2:2" ht="12" customHeight="1" x14ac:dyDescent="0.4">
      <c r="B98" s="2" t="s">
        <v>79</v>
      </c>
    </row>
    <row r="99" spans="2:2" ht="12" customHeight="1" x14ac:dyDescent="0.4">
      <c r="B99" s="2" t="s">
        <v>80</v>
      </c>
    </row>
    <row r="100" spans="2:2" ht="12" customHeight="1" x14ac:dyDescent="0.4">
      <c r="B100" s="2" t="s">
        <v>81</v>
      </c>
    </row>
    <row r="101" spans="2:2" ht="12" customHeight="1" x14ac:dyDescent="0.4">
      <c r="B101" s="2"/>
    </row>
    <row r="102" spans="2:2" ht="12" customHeight="1" x14ac:dyDescent="0.4">
      <c r="B102" s="2" t="s">
        <v>82</v>
      </c>
    </row>
    <row r="103" spans="2:2" ht="12" customHeight="1" x14ac:dyDescent="0.4">
      <c r="B103" s="2" t="s">
        <v>83</v>
      </c>
    </row>
    <row r="104" spans="2:2" ht="12" customHeight="1" x14ac:dyDescent="0.4">
      <c r="B104" s="2"/>
    </row>
    <row r="105" spans="2:2" ht="12" customHeight="1" x14ac:dyDescent="0.4">
      <c r="B105" s="9" t="s">
        <v>84</v>
      </c>
    </row>
    <row r="106" spans="2:2" ht="12" customHeight="1" x14ac:dyDescent="0.4">
      <c r="B106" s="2" t="s">
        <v>85</v>
      </c>
    </row>
    <row r="107" spans="2:2" ht="12" customHeight="1" x14ac:dyDescent="0.4">
      <c r="B107" s="2" t="s">
        <v>86</v>
      </c>
    </row>
    <row r="108" spans="2:2" ht="12" customHeight="1" x14ac:dyDescent="0.4">
      <c r="B108" s="2" t="s">
        <v>87</v>
      </c>
    </row>
    <row r="109" spans="2:2" ht="12" customHeight="1" x14ac:dyDescent="0.4">
      <c r="B109" s="2" t="s">
        <v>88</v>
      </c>
    </row>
    <row r="110" spans="2:2" ht="12" customHeight="1" x14ac:dyDescent="0.4">
      <c r="B110" s="2" t="s">
        <v>89</v>
      </c>
    </row>
    <row r="111" spans="2:2" ht="12" customHeight="1" x14ac:dyDescent="0.4">
      <c r="B111" s="2" t="s">
        <v>90</v>
      </c>
    </row>
    <row r="112" spans="2:2" ht="12" customHeight="1" x14ac:dyDescent="0.4">
      <c r="B112" s="2" t="s">
        <v>91</v>
      </c>
    </row>
    <row r="113" spans="2:2" x14ac:dyDescent="0.4">
      <c r="B113" s="10" t="s">
        <v>92</v>
      </c>
    </row>
    <row r="114" spans="2:2" ht="10.95" customHeight="1" x14ac:dyDescent="0.4">
      <c r="B114" s="2" t="s">
        <v>93</v>
      </c>
    </row>
    <row r="115" spans="2:2" ht="10.95" hidden="1" customHeight="1" x14ac:dyDescent="0.4">
      <c r="B115" s="10" t="s">
        <v>94</v>
      </c>
    </row>
    <row r="116" spans="2:2" ht="10.95" hidden="1" customHeight="1" x14ac:dyDescent="0.4">
      <c r="B116" s="2"/>
    </row>
    <row r="117" spans="2:2" ht="10.95" hidden="1" customHeight="1" x14ac:dyDescent="0.4">
      <c r="B117" s="2" t="s">
        <v>95</v>
      </c>
    </row>
    <row r="118" spans="2:2" hidden="1" x14ac:dyDescent="0.4">
      <c r="B118" s="2" t="s">
        <v>96</v>
      </c>
    </row>
    <row r="119" spans="2:2" hidden="1" x14ac:dyDescent="0.4">
      <c r="B119" s="2" t="s">
        <v>97</v>
      </c>
    </row>
    <row r="120" spans="2:2" hidden="1" x14ac:dyDescent="0.4">
      <c r="B120" s="2"/>
    </row>
    <row r="121" spans="2:2" hidden="1" x14ac:dyDescent="0.4">
      <c r="B121" s="11" t="s">
        <v>98</v>
      </c>
    </row>
    <row r="122" spans="2:2" ht="52.75" hidden="1" x14ac:dyDescent="0.4">
      <c r="B122" s="10" t="s">
        <v>99</v>
      </c>
    </row>
    <row r="123" spans="2:2" hidden="1" x14ac:dyDescent="0.4">
      <c r="B123" s="10" t="s">
        <v>100</v>
      </c>
    </row>
    <row r="124" spans="2:2" hidden="1" x14ac:dyDescent="0.4">
      <c r="B124" s="10" t="s">
        <v>101</v>
      </c>
    </row>
    <row r="125" spans="2:2" ht="21.9" hidden="1" x14ac:dyDescent="0.4">
      <c r="B125" s="10" t="s">
        <v>102</v>
      </c>
    </row>
    <row r="126" spans="2:2" hidden="1" x14ac:dyDescent="0.4">
      <c r="B126" s="10"/>
    </row>
    <row r="127" spans="2:2" hidden="1" x14ac:dyDescent="0.4">
      <c r="B127" s="11" t="s">
        <v>103</v>
      </c>
    </row>
    <row r="128" spans="2:2" hidden="1" x14ac:dyDescent="0.4">
      <c r="B128" s="10" t="s">
        <v>104</v>
      </c>
    </row>
    <row r="129" spans="2:2" x14ac:dyDescent="0.4">
      <c r="B129" s="2" t="s">
        <v>94</v>
      </c>
    </row>
    <row r="130" spans="2:2" hidden="1" x14ac:dyDescent="0.4">
      <c r="B130" s="10" t="s">
        <v>105</v>
      </c>
    </row>
    <row r="131" spans="2:2" x14ac:dyDescent="0.4">
      <c r="B131" s="2" t="s">
        <v>106</v>
      </c>
    </row>
    <row r="132" spans="2:2" x14ac:dyDescent="0.4">
      <c r="B132" s="2" t="s">
        <v>107</v>
      </c>
    </row>
    <row r="133" spans="2:2" x14ac:dyDescent="0.4">
      <c r="B133" s="2" t="s">
        <v>108</v>
      </c>
    </row>
    <row r="134" spans="2:2" x14ac:dyDescent="0.4">
      <c r="B134" s="11" t="s">
        <v>98</v>
      </c>
    </row>
    <row r="135" spans="2:2" x14ac:dyDescent="0.4">
      <c r="B135" s="2" t="s">
        <v>109</v>
      </c>
    </row>
    <row r="136" spans="2:2" x14ac:dyDescent="0.4">
      <c r="B136" s="2" t="s">
        <v>110</v>
      </c>
    </row>
    <row r="137" spans="2:2" x14ac:dyDescent="0.4">
      <c r="B137" s="2" t="s">
        <v>111</v>
      </c>
    </row>
    <row r="138" spans="2:2" x14ac:dyDescent="0.4">
      <c r="B138" s="2" t="s">
        <v>112</v>
      </c>
    </row>
    <row r="139" spans="2:2" x14ac:dyDescent="0.4">
      <c r="B139" s="2" t="s">
        <v>113</v>
      </c>
    </row>
    <row r="140" spans="2:2" x14ac:dyDescent="0.4">
      <c r="B140" s="2" t="s">
        <v>100</v>
      </c>
    </row>
    <row r="141" spans="2:2" x14ac:dyDescent="0.4">
      <c r="B141" s="2" t="s">
        <v>101</v>
      </c>
    </row>
    <row r="142" spans="2:2" x14ac:dyDescent="0.4">
      <c r="B142" s="2" t="s">
        <v>114</v>
      </c>
    </row>
    <row r="143" spans="2:2" x14ac:dyDescent="0.4">
      <c r="B143" s="2" t="s">
        <v>115</v>
      </c>
    </row>
    <row r="144" spans="2:2" x14ac:dyDescent="0.4">
      <c r="B144" s="2"/>
    </row>
    <row r="145" spans="2:2" x14ac:dyDescent="0.4">
      <c r="B145" s="9" t="s">
        <v>103</v>
      </c>
    </row>
    <row r="146" spans="2:2" x14ac:dyDescent="0.4">
      <c r="B146" s="2" t="s">
        <v>104</v>
      </c>
    </row>
    <row r="147" spans="2:2" x14ac:dyDescent="0.4">
      <c r="B147" s="2" t="s">
        <v>116</v>
      </c>
    </row>
    <row r="148" spans="2:2" x14ac:dyDescent="0.4">
      <c r="B148" s="2" t="s">
        <v>105</v>
      </c>
    </row>
    <row r="149" spans="2:2" x14ac:dyDescent="0.4">
      <c r="B149" s="10" t="s">
        <v>117</v>
      </c>
    </row>
    <row r="150" spans="2:2" x14ac:dyDescent="0.4">
      <c r="B150" s="10"/>
    </row>
    <row r="151" spans="2:2" x14ac:dyDescent="0.4">
      <c r="B151" s="11" t="s">
        <v>118</v>
      </c>
    </row>
    <row r="152" spans="2:2" x14ac:dyDescent="0.4">
      <c r="B152" s="10" t="s">
        <v>119</v>
      </c>
    </row>
    <row r="153" spans="2:2" x14ac:dyDescent="0.4">
      <c r="B153" s="10" t="s">
        <v>120</v>
      </c>
    </row>
    <row r="154" spans="2:2" x14ac:dyDescent="0.4">
      <c r="B154" s="2" t="s">
        <v>121</v>
      </c>
    </row>
    <row r="155" spans="2:2" x14ac:dyDescent="0.4">
      <c r="B155" s="255" t="s">
        <v>122</v>
      </c>
    </row>
    <row r="156" spans="2:2" x14ac:dyDescent="0.4">
      <c r="B156" s="10" t="s">
        <v>123</v>
      </c>
    </row>
    <row r="157" spans="2:2" x14ac:dyDescent="0.4">
      <c r="B157" s="2" t="s">
        <v>124</v>
      </c>
    </row>
    <row r="158" spans="2:2" x14ac:dyDescent="0.4">
      <c r="B158" s="2" t="s">
        <v>125</v>
      </c>
    </row>
    <row r="159" spans="2:2" x14ac:dyDescent="0.4">
      <c r="B159" s="2" t="s">
        <v>126</v>
      </c>
    </row>
    <row r="160" spans="2:2" x14ac:dyDescent="0.4">
      <c r="B160" s="2" t="s">
        <v>127</v>
      </c>
    </row>
    <row r="161" spans="2:2" x14ac:dyDescent="0.4">
      <c r="B161" s="2" t="s">
        <v>128</v>
      </c>
    </row>
    <row r="162" spans="2:2" x14ac:dyDescent="0.4">
      <c r="B162" s="10" t="s">
        <v>129</v>
      </c>
    </row>
    <row r="163" spans="2:2" hidden="1" x14ac:dyDescent="0.4">
      <c r="B163" s="10"/>
    </row>
    <row r="164" spans="2:2" hidden="1" x14ac:dyDescent="0.4">
      <c r="B164" s="10"/>
    </row>
    <row r="165" spans="2:2" hidden="1" x14ac:dyDescent="0.4">
      <c r="B165" s="10"/>
    </row>
  </sheetData>
  <sheetProtection sheet="1"/>
  <hyperlinks>
    <hyperlink ref="B7" r:id="rId1" xr:uid="{00000000-0004-0000-0000-000000000000}"/>
    <hyperlink ref="B5" r:id="rId2" xr:uid="{00000000-0004-0000-0000-000001000000}"/>
  </hyperlinks>
  <pageMargins left="0.7" right="0.7" top="0.75" bottom="0.75" header="0.3" footer="0.3"/>
  <pageSetup paperSize="9" orientation="portrait" r:id="rId3"/>
  <customProperties>
    <customPr name="OrphanNamesChecked" r:id="rId4"/>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dimension ref="A1:G57"/>
  <sheetViews>
    <sheetView showGridLines="0" zoomScaleNormal="100" workbookViewId="0">
      <selection activeCell="G3" sqref="G3"/>
    </sheetView>
  </sheetViews>
  <sheetFormatPr defaultColWidth="0" defaultRowHeight="15" customHeight="1" zeroHeight="1" x14ac:dyDescent="0.4"/>
  <cols>
    <col min="1" max="1" width="9.53515625" customWidth="1"/>
    <col min="2" max="2" width="6.3046875" bestFit="1" customWidth="1"/>
    <col min="3" max="6" width="8.69140625" customWidth="1"/>
    <col min="7" max="7" width="11.15234375" customWidth="1"/>
  </cols>
  <sheetData>
    <row r="1" spans="1:7" s="16" customFormat="1" ht="14.15" x14ac:dyDescent="0.35">
      <c r="A1" s="19" t="s">
        <v>394</v>
      </c>
      <c r="B1" s="146"/>
      <c r="C1" s="146"/>
      <c r="D1" s="146"/>
      <c r="E1" s="146"/>
      <c r="F1" s="146"/>
      <c r="G1" s="146"/>
    </row>
    <row r="2" spans="1:7" s="12" customFormat="1" ht="12" customHeight="1" x14ac:dyDescent="0.3">
      <c r="A2" s="26"/>
      <c r="B2" s="26"/>
      <c r="C2" s="26"/>
      <c r="D2" s="26"/>
      <c r="E2" s="26"/>
      <c r="F2" s="26"/>
      <c r="G2" s="26"/>
    </row>
    <row r="3" spans="1:7" s="12" customFormat="1" ht="12" customHeight="1" x14ac:dyDescent="0.3">
      <c r="A3" s="26" t="s">
        <v>395</v>
      </c>
      <c r="B3" s="26"/>
      <c r="C3" s="26"/>
      <c r="D3" s="26"/>
      <c r="E3" s="26"/>
      <c r="F3" s="26"/>
      <c r="G3" s="7"/>
    </row>
    <row r="4" spans="1:7" s="12" customFormat="1" ht="12" customHeight="1" x14ac:dyDescent="0.3">
      <c r="A4" s="298" t="s">
        <v>396</v>
      </c>
      <c r="B4" s="298"/>
      <c r="C4" s="298"/>
      <c r="D4" s="298"/>
      <c r="E4" s="298"/>
      <c r="F4" s="298"/>
      <c r="G4" s="100" t="str">
        <f>IF(G3="Keu Referentie",KeuReferentie,IF(G3="Build-Up",KeuBuildUp,""))</f>
        <v/>
      </c>
    </row>
    <row r="5" spans="1:7" s="12" customFormat="1" ht="12" customHeight="1" x14ac:dyDescent="0.3">
      <c r="A5" s="298" t="s">
        <v>137</v>
      </c>
      <c r="B5" s="298"/>
      <c r="C5" s="298"/>
      <c r="D5" s="298"/>
      <c r="E5" s="298"/>
      <c r="F5" s="298"/>
      <c r="G5" s="150">
        <f>'Invoer algemeen en balans'!inflatie</f>
        <v>0.02</v>
      </c>
    </row>
    <row r="6" spans="1:7" s="12" customFormat="1" ht="12" customHeight="1" x14ac:dyDescent="0.3">
      <c r="A6" s="298" t="s">
        <v>397</v>
      </c>
      <c r="B6" s="298"/>
      <c r="C6" s="298"/>
      <c r="D6" s="298"/>
      <c r="E6" s="298"/>
      <c r="F6" s="298"/>
      <c r="G6" s="150">
        <v>0.02</v>
      </c>
    </row>
    <row r="7" spans="1:7" s="12" customFormat="1" ht="12" customHeight="1" x14ac:dyDescent="0.3">
      <c r="A7" s="298" t="s">
        <v>398</v>
      </c>
      <c r="B7" s="298"/>
      <c r="C7" s="298"/>
      <c r="D7" s="298"/>
      <c r="E7" s="298"/>
      <c r="F7" s="298"/>
      <c r="G7" s="147">
        <v>12</v>
      </c>
    </row>
    <row r="8" spans="1:7" s="12" customFormat="1" ht="12" customHeight="1" x14ac:dyDescent="0.3">
      <c r="A8" s="26"/>
      <c r="B8" s="26"/>
      <c r="C8" s="26"/>
      <c r="D8" s="26"/>
      <c r="E8" s="26"/>
      <c r="F8" s="26"/>
      <c r="G8" s="148"/>
    </row>
    <row r="9" spans="1:7" s="12" customFormat="1" ht="12" customHeight="1" x14ac:dyDescent="0.3">
      <c r="A9" s="297" t="s">
        <v>133</v>
      </c>
      <c r="B9" s="297"/>
      <c r="C9" s="297"/>
      <c r="D9" s="297"/>
      <c r="E9" s="297"/>
      <c r="F9" s="297"/>
      <c r="G9" s="31" t="str">
        <f>'Invoer algemeen en balans'!D4</f>
        <v>x 1.000</v>
      </c>
    </row>
    <row r="10" spans="1:7" s="12" customFormat="1" ht="12" customHeight="1" x14ac:dyDescent="0.3">
      <c r="A10" s="298" t="s">
        <v>399</v>
      </c>
      <c r="B10" s="298"/>
      <c r="C10" s="298"/>
      <c r="D10" s="298"/>
      <c r="E10" s="298"/>
      <c r="F10" s="35" t="str">
        <f>G4</f>
        <v/>
      </c>
      <c r="G10" s="28">
        <f>APV!I29+APV!I30</f>
        <v>0</v>
      </c>
    </row>
    <row r="11" spans="1:7" s="12" customFormat="1" ht="12" customHeight="1" x14ac:dyDescent="0.3">
      <c r="A11" s="298" t="s">
        <v>400</v>
      </c>
      <c r="B11" s="298"/>
      <c r="C11" s="298"/>
      <c r="D11" s="298"/>
      <c r="E11" s="298"/>
      <c r="F11" s="35" t="str">
        <f>IFERROR(G4-G6,"")</f>
        <v/>
      </c>
      <c r="G11" s="29" t="str">
        <f>IFERROR((APV!B18+APV!B24)/(1+F11)+(APV!C18+APV!C24)/(1+F11)^2+(APV!D18+APV!D24)/(1+F11)^3+(APV!E18+APV!E24)/(1+F11)^4+(APV!F18+APV!F24)/(1+F11)^5+(APV!G18+APV!B24)/(1+F11)^6+(APV!H18/(IF(G3="Keu Referentie",WACCReferentieRest,IF(G3="Build-Up",WACCBuildUpRest,""))-G6-G5))/(1+IF(G3="Keu Referentie",WACCReferentieRest,IF(G3="Build-Up",WACCBuildUpRest,""))
-G6)^6,"")</f>
        <v/>
      </c>
    </row>
    <row r="12" spans="1:7" s="12" customFormat="1" ht="12" customHeight="1" x14ac:dyDescent="0.3">
      <c r="A12" s="298" t="s">
        <v>401</v>
      </c>
      <c r="B12" s="298"/>
      <c r="C12" s="298"/>
      <c r="D12" s="298"/>
      <c r="E12" s="298"/>
      <c r="F12" s="26"/>
      <c r="G12" s="28" t="str">
        <f>IFERROR(G11-G10,"")</f>
        <v/>
      </c>
    </row>
    <row r="13" spans="1:7" s="12" customFormat="1" ht="12" customHeight="1" x14ac:dyDescent="0.3">
      <c r="A13" s="298" t="s">
        <v>402</v>
      </c>
      <c r="B13" s="298"/>
      <c r="C13" s="298"/>
      <c r="D13" s="298"/>
      <c r="E13" s="298"/>
      <c r="F13" s="26"/>
      <c r="G13" s="35" t="str">
        <f>IFERROR(G12/G10,"")</f>
        <v/>
      </c>
    </row>
    <row r="14" spans="1:7" s="12" customFormat="1" ht="12" customHeight="1" x14ac:dyDescent="0.3">
      <c r="A14" s="26"/>
      <c r="B14" s="26"/>
      <c r="C14" s="26"/>
      <c r="D14" s="26"/>
      <c r="E14" s="26"/>
      <c r="F14" s="26"/>
      <c r="G14" s="26"/>
    </row>
    <row r="15" spans="1:7" s="12" customFormat="1" ht="12" customHeight="1" x14ac:dyDescent="0.3">
      <c r="A15" s="298" t="s">
        <v>403</v>
      </c>
      <c r="B15" s="298"/>
      <c r="C15" s="298"/>
      <c r="D15" s="298"/>
      <c r="E15" s="298"/>
      <c r="F15" s="26"/>
      <c r="G15" s="28">
        <f>G10</f>
        <v>0</v>
      </c>
    </row>
    <row r="16" spans="1:7" s="12" customFormat="1" ht="12" customHeight="1" x14ac:dyDescent="0.3">
      <c r="A16" s="298" t="str">
        <f>"Contante waarde "&amp;G7&amp; " maanden"</f>
        <v>Contante waarde 12 maanden</v>
      </c>
      <c r="B16" s="298"/>
      <c r="C16" s="298"/>
      <c r="D16" s="298"/>
      <c r="E16" s="298"/>
      <c r="F16" s="35" t="str">
        <f>G4</f>
        <v/>
      </c>
      <c r="G16" s="29" t="str">
        <f>IFERROR(G15/(1+F16)^(G7/12),"")</f>
        <v/>
      </c>
    </row>
    <row r="17" spans="1:7" s="12" customFormat="1" ht="12" customHeight="1" x14ac:dyDescent="0.3">
      <c r="A17" s="298" t="s">
        <v>404</v>
      </c>
      <c r="B17" s="298"/>
      <c r="C17" s="298"/>
      <c r="D17" s="298"/>
      <c r="E17" s="298"/>
      <c r="F17" s="26"/>
      <c r="G17" s="28" t="str">
        <f>IFERROR(G15-G16,"")</f>
        <v/>
      </c>
    </row>
    <row r="18" spans="1:7" s="12" customFormat="1" ht="12" customHeight="1" x14ac:dyDescent="0.3">
      <c r="A18" s="26"/>
      <c r="B18" s="26"/>
      <c r="C18" s="26"/>
      <c r="D18" s="26"/>
      <c r="E18" s="26"/>
      <c r="F18" s="26"/>
      <c r="G18" s="28"/>
    </row>
    <row r="19" spans="1:7" s="12" customFormat="1" ht="12" customHeight="1" x14ac:dyDescent="0.3">
      <c r="A19" s="298" t="s">
        <v>401</v>
      </c>
      <c r="B19" s="298"/>
      <c r="C19" s="298"/>
      <c r="D19" s="298"/>
      <c r="E19" s="298"/>
      <c r="F19" s="26"/>
      <c r="G19" s="28" t="str">
        <f>G12</f>
        <v/>
      </c>
    </row>
    <row r="20" spans="1:7" s="12" customFormat="1" ht="12" customHeight="1" x14ac:dyDescent="0.3">
      <c r="A20" s="298" t="s">
        <v>404</v>
      </c>
      <c r="B20" s="298"/>
      <c r="C20" s="298"/>
      <c r="D20" s="298"/>
      <c r="E20" s="298"/>
      <c r="F20" s="26"/>
      <c r="G20" s="29" t="str">
        <f>G17</f>
        <v/>
      </c>
    </row>
    <row r="21" spans="1:7" s="12" customFormat="1" ht="12" customHeight="1" x14ac:dyDescent="0.3">
      <c r="A21" s="298" t="s">
        <v>405</v>
      </c>
      <c r="B21" s="298"/>
      <c r="C21" s="298"/>
      <c r="D21" s="298"/>
      <c r="E21" s="298"/>
      <c r="F21" s="298"/>
      <c r="G21" s="28" t="str">
        <f>IFERROR(G19-G20,"")</f>
        <v/>
      </c>
    </row>
    <row r="22" spans="1:7" s="12" customFormat="1" ht="12" customHeight="1" x14ac:dyDescent="0.3">
      <c r="A22" s="26"/>
      <c r="B22" s="26"/>
      <c r="C22" s="26"/>
      <c r="D22" s="26"/>
      <c r="E22" s="26"/>
      <c r="F22" s="26"/>
      <c r="G22" s="26"/>
    </row>
    <row r="23" spans="1:7" s="12" customFormat="1" ht="12" customHeight="1" x14ac:dyDescent="0.3">
      <c r="A23" s="297" t="s">
        <v>406</v>
      </c>
      <c r="B23" s="297"/>
      <c r="C23" s="297"/>
      <c r="D23" s="297"/>
      <c r="E23" s="297"/>
      <c r="F23" s="297"/>
      <c r="G23" s="297"/>
    </row>
    <row r="24" spans="1:7" s="12" customFormat="1" ht="12" customHeight="1" x14ac:dyDescent="0.3">
      <c r="A24" s="298" t="s">
        <v>407</v>
      </c>
      <c r="B24" s="298"/>
      <c r="C24" s="298"/>
      <c r="D24" s="298"/>
      <c r="E24" s="298"/>
      <c r="F24" s="298"/>
      <c r="G24" s="150">
        <v>0.05</v>
      </c>
    </row>
    <row r="25" spans="1:7" s="12" customFormat="1" ht="12" customHeight="1" x14ac:dyDescent="0.3">
      <c r="A25" s="298" t="s">
        <v>408</v>
      </c>
      <c r="B25" s="298"/>
      <c r="C25" s="298"/>
      <c r="D25" s="298"/>
      <c r="E25" s="298"/>
      <c r="F25" s="298"/>
      <c r="G25" s="28">
        <f>G15*G24</f>
        <v>0</v>
      </c>
    </row>
    <row r="26" spans="1:7" s="12" customFormat="1" ht="12" customHeight="1" x14ac:dyDescent="0.3">
      <c r="A26" s="26"/>
      <c r="B26" s="26"/>
      <c r="C26" s="26"/>
      <c r="D26" s="26"/>
      <c r="E26" s="26"/>
      <c r="F26" s="26"/>
      <c r="G26" s="26"/>
    </row>
    <row r="27" spans="1:7" s="12" customFormat="1" ht="12" customHeight="1" x14ac:dyDescent="0.3">
      <c r="A27" s="298" t="s">
        <v>409</v>
      </c>
      <c r="B27" s="298"/>
      <c r="C27" s="298"/>
      <c r="D27" s="298"/>
      <c r="E27" s="298"/>
      <c r="F27" s="298"/>
      <c r="G27" s="28">
        <f>G10</f>
        <v>0</v>
      </c>
    </row>
    <row r="28" spans="1:7" s="12" customFormat="1" ht="12" customHeight="1" x14ac:dyDescent="0.3">
      <c r="A28" s="298" t="s">
        <v>410</v>
      </c>
      <c r="B28" s="298"/>
      <c r="C28" s="298"/>
      <c r="D28" s="298"/>
      <c r="E28" s="298"/>
      <c r="F28" s="298"/>
      <c r="G28" s="29" t="str">
        <f>G21</f>
        <v/>
      </c>
    </row>
    <row r="29" spans="1:7" s="12" customFormat="1" ht="12" customHeight="1" x14ac:dyDescent="0.3">
      <c r="A29" s="26"/>
      <c r="B29" s="26"/>
      <c r="C29" s="26"/>
      <c r="D29" s="26"/>
      <c r="E29" s="26"/>
      <c r="F29" s="26"/>
      <c r="G29" s="28" t="str">
        <f>IFERROR(G27+G28,"")</f>
        <v/>
      </c>
    </row>
    <row r="30" spans="1:7" s="12" customFormat="1" ht="12" customHeight="1" x14ac:dyDescent="0.3">
      <c r="A30" s="298" t="s">
        <v>411</v>
      </c>
      <c r="B30" s="298"/>
      <c r="C30" s="298"/>
      <c r="D30" s="298"/>
      <c r="E30" s="298"/>
      <c r="F30" s="298"/>
      <c r="G30" s="29">
        <f>G25</f>
        <v>0</v>
      </c>
    </row>
    <row r="31" spans="1:7" s="12" customFormat="1" ht="12" customHeight="1" x14ac:dyDescent="0.3">
      <c r="A31" s="298" t="s">
        <v>412</v>
      </c>
      <c r="B31" s="298"/>
      <c r="C31" s="298"/>
      <c r="D31" s="298"/>
      <c r="E31" s="298"/>
      <c r="F31" s="298"/>
      <c r="G31" s="28" t="str">
        <f>IFERROR(G29-G30,"")</f>
        <v/>
      </c>
    </row>
    <row r="32" spans="1:7" s="12" customFormat="1" ht="12" customHeight="1" x14ac:dyDescent="0.3">
      <c r="A32" s="302" t="s">
        <v>413</v>
      </c>
      <c r="B32" s="302"/>
      <c r="C32" s="302"/>
      <c r="D32" s="302"/>
      <c r="E32" s="302"/>
      <c r="F32" s="302"/>
      <c r="G32" s="102" t="str">
        <f>IFERROR(G21-G25,"")</f>
        <v/>
      </c>
    </row>
    <row r="33" spans="1:7" ht="12" customHeight="1" x14ac:dyDescent="0.4">
      <c r="A33" s="149"/>
      <c r="B33" s="149"/>
      <c r="C33" s="149"/>
      <c r="D33" s="149"/>
      <c r="E33" s="149"/>
      <c r="F33" s="149"/>
      <c r="G33" s="149"/>
    </row>
    <row r="34" spans="1:7" ht="12" customHeight="1" x14ac:dyDescent="0.4">
      <c r="A34" s="299" t="s">
        <v>414</v>
      </c>
      <c r="B34" s="299"/>
      <c r="C34" s="299"/>
      <c r="D34" s="299"/>
      <c r="E34" s="299"/>
      <c r="F34" s="299"/>
      <c r="G34" s="299"/>
    </row>
    <row r="35" spans="1:7" ht="12" customHeight="1" x14ac:dyDescent="0.4">
      <c r="A35" s="156"/>
      <c r="B35" s="300" t="s">
        <v>415</v>
      </c>
      <c r="C35" s="300"/>
      <c r="D35" s="300"/>
      <c r="E35" s="300"/>
      <c r="F35" s="300"/>
      <c r="G35" s="301"/>
    </row>
    <row r="36" spans="1:7" ht="12" customHeight="1" x14ac:dyDescent="0.4">
      <c r="A36" s="157"/>
      <c r="B36" s="153"/>
      <c r="C36" s="154">
        <f>D36-1%</f>
        <v>0.03</v>
      </c>
      <c r="D36" s="154">
        <f>E36-1%</f>
        <v>0.04</v>
      </c>
      <c r="E36" s="161">
        <f>G24</f>
        <v>0.05</v>
      </c>
      <c r="F36" s="154">
        <f>E36+1%</f>
        <v>6.0000000000000005E-2</v>
      </c>
      <c r="G36" s="158">
        <f>F36+1%</f>
        <v>7.0000000000000007E-2</v>
      </c>
    </row>
    <row r="37" spans="1:7" ht="12" customHeight="1" x14ac:dyDescent="0.4">
      <c r="A37" s="163" t="s">
        <v>416</v>
      </c>
      <c r="B37" s="155">
        <f>B38-3</f>
        <v>6</v>
      </c>
      <c r="C37" s="152" t="e">
        <f t="shared" ref="C37:G39" si="0">$G$12-($G$15-$G$15/(1+$F$16)^($B37/12))-$G$15*C$36</f>
        <v>#VALUE!</v>
      </c>
      <c r="D37" s="152" t="e">
        <f t="shared" si="0"/>
        <v>#VALUE!</v>
      </c>
      <c r="E37" s="152" t="e">
        <f t="shared" si="0"/>
        <v>#VALUE!</v>
      </c>
      <c r="F37" s="152" t="e">
        <f t="shared" si="0"/>
        <v>#VALUE!</v>
      </c>
      <c r="G37" s="152" t="e">
        <f t="shared" si="0"/>
        <v>#VALUE!</v>
      </c>
    </row>
    <row r="38" spans="1:7" ht="12" customHeight="1" x14ac:dyDescent="0.4">
      <c r="A38" s="163" t="s">
        <v>417</v>
      </c>
      <c r="B38" s="155">
        <f>B39-3</f>
        <v>9</v>
      </c>
      <c r="C38" s="151" t="e">
        <f t="shared" si="0"/>
        <v>#VALUE!</v>
      </c>
      <c r="D38" s="151" t="e">
        <f t="shared" si="0"/>
        <v>#VALUE!</v>
      </c>
      <c r="E38" s="151" t="e">
        <f t="shared" si="0"/>
        <v>#VALUE!</v>
      </c>
      <c r="F38" s="151" t="e">
        <f t="shared" si="0"/>
        <v>#VALUE!</v>
      </c>
      <c r="G38" s="151" t="e">
        <f t="shared" si="0"/>
        <v>#VALUE!</v>
      </c>
    </row>
    <row r="39" spans="1:7" ht="12" customHeight="1" x14ac:dyDescent="0.4">
      <c r="A39" s="163" t="s">
        <v>418</v>
      </c>
      <c r="B39" s="160">
        <f>G7</f>
        <v>12</v>
      </c>
      <c r="C39" s="151" t="e">
        <f t="shared" si="0"/>
        <v>#VALUE!</v>
      </c>
      <c r="D39" s="151" t="e">
        <f t="shared" si="0"/>
        <v>#VALUE!</v>
      </c>
      <c r="E39" s="162" t="e">
        <f>$G$12-($G$15-$G$15/(1+$F$16)^($B39/12))-$G$15*E$36</f>
        <v>#VALUE!</v>
      </c>
      <c r="F39" s="151" t="e">
        <f t="shared" si="0"/>
        <v>#VALUE!</v>
      </c>
      <c r="G39" s="151" t="e">
        <f t="shared" si="0"/>
        <v>#VALUE!</v>
      </c>
    </row>
    <row r="40" spans="1:7" ht="12" customHeight="1" x14ac:dyDescent="0.4">
      <c r="A40" s="163" t="s">
        <v>419</v>
      </c>
      <c r="B40" s="155">
        <f>B39+3</f>
        <v>15</v>
      </c>
      <c r="C40" s="151" t="e">
        <f t="shared" ref="C40:G41" si="1">$G$12-($G$15-$G$15/(1+$F$16)^($B40/12))-$G$15*C$36</f>
        <v>#VALUE!</v>
      </c>
      <c r="D40" s="151" t="e">
        <f t="shared" si="1"/>
        <v>#VALUE!</v>
      </c>
      <c r="E40" s="151" t="e">
        <f t="shared" si="1"/>
        <v>#VALUE!</v>
      </c>
      <c r="F40" s="151" t="e">
        <f t="shared" si="1"/>
        <v>#VALUE!</v>
      </c>
      <c r="G40" s="151" t="e">
        <f t="shared" si="1"/>
        <v>#VALUE!</v>
      </c>
    </row>
    <row r="41" spans="1:7" ht="12" customHeight="1" x14ac:dyDescent="0.4">
      <c r="A41" s="164" t="s">
        <v>420</v>
      </c>
      <c r="B41" s="159">
        <f>B40+3</f>
        <v>18</v>
      </c>
      <c r="C41" s="151" t="e">
        <f t="shared" si="1"/>
        <v>#VALUE!</v>
      </c>
      <c r="D41" s="151" t="e">
        <f t="shared" si="1"/>
        <v>#VALUE!</v>
      </c>
      <c r="E41" s="151" t="e">
        <f t="shared" si="1"/>
        <v>#VALUE!</v>
      </c>
      <c r="F41" s="151" t="e">
        <f t="shared" si="1"/>
        <v>#VALUE!</v>
      </c>
      <c r="G41" s="151" t="e">
        <f t="shared" si="1"/>
        <v>#VALUE!</v>
      </c>
    </row>
    <row r="42" spans="1:7" ht="12" customHeight="1" x14ac:dyDescent="0.4"/>
    <row r="43" spans="1:7" ht="12" customHeight="1" x14ac:dyDescent="0.4"/>
    <row r="44" spans="1:7" ht="12" customHeight="1" x14ac:dyDescent="0.4"/>
    <row r="45" spans="1:7" ht="12" customHeight="1" x14ac:dyDescent="0.4"/>
    <row r="46" spans="1:7" ht="12" customHeight="1" x14ac:dyDescent="0.4"/>
    <row r="47" spans="1:7" ht="12" customHeight="1" x14ac:dyDescent="0.4"/>
    <row r="48" spans="1:7" ht="12" customHeight="1" x14ac:dyDescent="0.4"/>
    <row r="49" ht="12" customHeight="1" x14ac:dyDescent="0.4"/>
    <row r="50" ht="12" customHeight="1" x14ac:dyDescent="0.4"/>
    <row r="51" ht="12" customHeight="1" x14ac:dyDescent="0.4"/>
    <row r="52" ht="12" customHeight="1" x14ac:dyDescent="0.4"/>
    <row r="53" ht="12" customHeight="1" x14ac:dyDescent="0.4"/>
    <row r="54" ht="12" customHeight="1" x14ac:dyDescent="0.4"/>
    <row r="55" ht="12" customHeight="1" x14ac:dyDescent="0.4"/>
    <row r="56" ht="12" customHeight="1" x14ac:dyDescent="0.4"/>
    <row r="57" ht="12" customHeight="1" x14ac:dyDescent="0.4"/>
  </sheetData>
  <sheetProtection sheet="1" objects="1" scenarios="1"/>
  <mergeCells count="25">
    <mergeCell ref="A21:F21"/>
    <mergeCell ref="A7:F7"/>
    <mergeCell ref="A6:F6"/>
    <mergeCell ref="A5:F5"/>
    <mergeCell ref="A4:F4"/>
    <mergeCell ref="A10:E10"/>
    <mergeCell ref="A11:E11"/>
    <mergeCell ref="A12:E12"/>
    <mergeCell ref="A13:E13"/>
    <mergeCell ref="A15:E15"/>
    <mergeCell ref="A16:E16"/>
    <mergeCell ref="A17:E17"/>
    <mergeCell ref="A9:F9"/>
    <mergeCell ref="A19:E19"/>
    <mergeCell ref="A20:E20"/>
    <mergeCell ref="A23:G23"/>
    <mergeCell ref="A24:F24"/>
    <mergeCell ref="A34:G34"/>
    <mergeCell ref="B35:G35"/>
    <mergeCell ref="A27:F27"/>
    <mergeCell ref="A28:F28"/>
    <mergeCell ref="A30:F30"/>
    <mergeCell ref="A31:F31"/>
    <mergeCell ref="A32:F32"/>
    <mergeCell ref="A25:F25"/>
  </mergeCells>
  <dataValidations count="1">
    <dataValidation type="list" allowBlank="1" showInputMessage="1" showErrorMessage="1" sqref="G3" xr:uid="{1B0677DB-D161-468E-857F-E0699A309284}">
      <formula1>"Keu Referentie, Build-up"</formula1>
    </dataValidation>
  </dataValidations>
  <pageMargins left="0.7" right="0.7" top="0.75" bottom="0.75" header="0.3" footer="0.3"/>
  <pageSetup paperSize="9" orientation="portrait" r:id="rId1"/>
  <customProperties>
    <customPr name="OrphanNamesCheck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IU86"/>
  <sheetViews>
    <sheetView showGridLines="0" workbookViewId="0">
      <selection activeCell="C3" sqref="C3"/>
    </sheetView>
  </sheetViews>
  <sheetFormatPr defaultColWidth="0" defaultRowHeight="0" customHeight="1" zeroHeight="1" x14ac:dyDescent="0.3"/>
  <cols>
    <col min="1" max="1" width="45" style="228" customWidth="1"/>
    <col min="2" max="8" width="11.23046875" style="228" customWidth="1"/>
    <col min="9" max="9" width="11.23046875" style="12" customWidth="1"/>
    <col min="10" max="10" width="2.69140625" style="12" customWidth="1"/>
    <col min="11" max="11" width="7.3046875" style="12" hidden="1" customWidth="1"/>
    <col min="12" max="12" width="7.84375" style="12" hidden="1" customWidth="1"/>
    <col min="13" max="255" width="9.15234375" style="12" hidden="1" customWidth="1"/>
    <col min="256" max="16384" width="5.15234375" style="12" hidden="1"/>
  </cols>
  <sheetData>
    <row r="1" spans="1:12" s="16" customFormat="1" ht="14.15" x14ac:dyDescent="0.35">
      <c r="A1" s="1" t="s">
        <v>421</v>
      </c>
      <c r="B1" s="17"/>
      <c r="C1" s="17"/>
      <c r="D1" s="17"/>
      <c r="E1" s="17"/>
      <c r="F1" s="17"/>
      <c r="G1" s="17"/>
      <c r="H1" s="17"/>
      <c r="I1" s="17"/>
      <c r="J1" s="17"/>
    </row>
    <row r="2" spans="1:12" s="59" customFormat="1" ht="12" customHeight="1" x14ac:dyDescent="0.25">
      <c r="A2" s="36" t="s">
        <v>291</v>
      </c>
      <c r="B2" s="37"/>
      <c r="C2" s="37" t="s">
        <v>291</v>
      </c>
      <c r="D2" s="37"/>
      <c r="E2" s="37"/>
      <c r="F2" s="37"/>
      <c r="G2" s="37"/>
      <c r="H2" s="37"/>
      <c r="I2" s="37"/>
    </row>
    <row r="3" spans="1:12" s="59" customFormat="1" ht="12" customHeight="1" x14ac:dyDescent="0.25">
      <c r="A3" s="48" t="s">
        <v>395</v>
      </c>
      <c r="B3" s="37"/>
      <c r="C3" s="7"/>
      <c r="D3" s="37"/>
      <c r="E3" s="37"/>
      <c r="F3" s="37"/>
      <c r="G3" s="37"/>
      <c r="H3" s="48" t="s">
        <v>422</v>
      </c>
      <c r="I3" s="37"/>
    </row>
    <row r="4" spans="1:12" s="59" customFormat="1" ht="12" customHeight="1" x14ac:dyDescent="0.25">
      <c r="A4" s="48" t="s">
        <v>423</v>
      </c>
      <c r="C4" s="268" t="str">
        <f>IF(C3="Keu Referentie",IF(KeuReferentie="Nog niet alle velden zijn ingevuld, er kan nog geen rendementseis worden vastgesteld.","Nog geen rendementseis vastgesteld. Ga terug naar de tab rendementseis.",WACCReferentieScen),IF(C3="Build-Up",WACCBuildUpScen,""))</f>
        <v/>
      </c>
      <c r="H4" s="252" t="str">
        <f>IF(C3="Keu Referentie",WACCReferentieRest,IF(C3="Build-Up",WACCBuildUpRest,""))</f>
        <v/>
      </c>
    </row>
    <row r="5" spans="1:12" s="59" customFormat="1" ht="12" customHeight="1" x14ac:dyDescent="0.25">
      <c r="A5" s="48" t="s">
        <v>424</v>
      </c>
      <c r="C5" s="63" t="str">
        <f>IF(C3="Keu Referentie",'Rendementseis  - Keu Referentie'!C53,IF(C3="Build-Up",'Rendementseis - Build-up'!C26,""))</f>
        <v/>
      </c>
      <c r="H5" s="253" t="str">
        <f>IF(C3="Keu Referentie",'Rendementseis  - Keu Referentie'!C59,IF(C3="Build-Up",'Rendementseis - Build-up'!C32,""))</f>
        <v/>
      </c>
    </row>
    <row r="6" spans="1:12" s="59" customFormat="1" ht="12" customHeight="1" x14ac:dyDescent="0.3">
      <c r="D6" s="65"/>
    </row>
    <row r="7" spans="1:12" s="59" customFormat="1" ht="12" customHeight="1" x14ac:dyDescent="0.3">
      <c r="A7" s="57" t="str">
        <f>"Jaar               "&amp;"(bedragen x € "&amp;IF('Invoer algemeen en balans'!$D$4="x 1.000","1.000",1)&amp;")"</f>
        <v>Jaar               (bedragen x € 1.000)</v>
      </c>
      <c r="B7" s="57">
        <f>'Invoer algemeen en balans'!E15</f>
        <v>2026</v>
      </c>
      <c r="C7" s="57">
        <f>B7+1</f>
        <v>2027</v>
      </c>
      <c r="D7" s="57">
        <f>C7+1</f>
        <v>2028</v>
      </c>
      <c r="E7" s="57">
        <f>D7+1</f>
        <v>2029</v>
      </c>
      <c r="F7" s="57">
        <f>E7+1</f>
        <v>2030</v>
      </c>
      <c r="G7" s="57">
        <f>F7+1</f>
        <v>2031</v>
      </c>
      <c r="H7" s="66" t="s">
        <v>425</v>
      </c>
      <c r="I7" s="66" t="s">
        <v>426</v>
      </c>
    </row>
    <row r="8" spans="1:12" s="59" customFormat="1" ht="12" customHeight="1" x14ac:dyDescent="0.25">
      <c r="A8" s="59" t="s">
        <v>427</v>
      </c>
      <c r="B8" s="39">
        <f>'Invoer exploitatie'!E26</f>
        <v>0</v>
      </c>
      <c r="C8" s="39">
        <f>'Invoer exploitatie'!F26</f>
        <v>0</v>
      </c>
      <c r="D8" s="39">
        <f>'Invoer exploitatie'!G26</f>
        <v>0</v>
      </c>
      <c r="E8" s="39">
        <f>'Invoer exploitatie'!H26</f>
        <v>0</v>
      </c>
      <c r="F8" s="39">
        <f>'Invoer exploitatie'!I26</f>
        <v>0</v>
      </c>
      <c r="G8" s="39">
        <f>'Invoer exploitatie'!J26</f>
        <v>0</v>
      </c>
      <c r="H8" s="264">
        <f>G8*(1+'Invoer algemeen en balans'!inflatie)</f>
        <v>0</v>
      </c>
      <c r="I8" s="64"/>
      <c r="J8" s="64"/>
      <c r="K8" s="64"/>
      <c r="L8" s="64"/>
    </row>
    <row r="9" spans="1:12" s="59" customFormat="1" ht="12" customHeight="1" x14ac:dyDescent="0.25">
      <c r="A9" s="59" t="s">
        <v>428</v>
      </c>
      <c r="B9" s="39">
        <f>-'Invoer exploitatie'!E34</f>
        <v>0</v>
      </c>
      <c r="C9" s="39">
        <f>-'Invoer exploitatie'!F34</f>
        <v>0</v>
      </c>
      <c r="D9" s="39">
        <f>-'Invoer exploitatie'!G34</f>
        <v>0</v>
      </c>
      <c r="E9" s="39">
        <f>-'Invoer exploitatie'!H34</f>
        <v>0</v>
      </c>
      <c r="F9" s="39">
        <f>-'Invoer exploitatie'!I34</f>
        <v>0</v>
      </c>
      <c r="G9" s="39">
        <f>-'Invoer exploitatie'!J34</f>
        <v>0</v>
      </c>
      <c r="H9" s="265">
        <f>G9*(1+'Invoer algemeen en balans'!inflatie)</f>
        <v>0</v>
      </c>
      <c r="I9" s="64"/>
      <c r="J9" s="64"/>
      <c r="K9" s="64"/>
      <c r="L9" s="64"/>
    </row>
    <row r="10" spans="1:12" s="59" customFormat="1" ht="12" customHeight="1" x14ac:dyDescent="0.25">
      <c r="A10" s="59" t="s">
        <v>253</v>
      </c>
      <c r="B10" s="39">
        <f>-'Invoer exploitatie'!E78</f>
        <v>0</v>
      </c>
      <c r="C10" s="39">
        <f>-'Invoer exploitatie'!F78</f>
        <v>0</v>
      </c>
      <c r="D10" s="39">
        <f>-'Invoer exploitatie'!G78</f>
        <v>0</v>
      </c>
      <c r="E10" s="39">
        <f>-'Invoer exploitatie'!H78</f>
        <v>0</v>
      </c>
      <c r="F10" s="39">
        <f>-'Invoer exploitatie'!I78</f>
        <v>0</v>
      </c>
      <c r="G10" s="39">
        <f>-'Invoer exploitatie'!J78</f>
        <v>0</v>
      </c>
      <c r="H10" s="265">
        <f>G10*(1+'Invoer algemeen en balans'!inflatie)</f>
        <v>0</v>
      </c>
      <c r="I10" s="64"/>
      <c r="J10" s="64"/>
      <c r="K10" s="64"/>
      <c r="L10" s="64"/>
    </row>
    <row r="11" spans="1:12" s="59" customFormat="1" ht="12" customHeight="1" x14ac:dyDescent="0.25">
      <c r="A11" s="59" t="s">
        <v>277</v>
      </c>
      <c r="B11" s="49">
        <f>-'Invoer exploitatie'!E88</f>
        <v>0</v>
      </c>
      <c r="C11" s="49">
        <f>-'Invoer exploitatie'!F88</f>
        <v>0</v>
      </c>
      <c r="D11" s="49">
        <f>-'Invoer exploitatie'!G88</f>
        <v>0</v>
      </c>
      <c r="E11" s="49">
        <f>-'Invoer exploitatie'!H88</f>
        <v>0</v>
      </c>
      <c r="F11" s="49">
        <f>-'Invoer exploitatie'!I88</f>
        <v>0</v>
      </c>
      <c r="G11" s="49">
        <f>-'Invoer exploitatie'!J88</f>
        <v>0</v>
      </c>
      <c r="H11" s="266">
        <f>G11*(1+'Invoer algemeen en balans'!inflatie)</f>
        <v>0</v>
      </c>
      <c r="I11" s="64"/>
      <c r="J11" s="64"/>
      <c r="K11" s="64"/>
      <c r="L11" s="64"/>
    </row>
    <row r="12" spans="1:12" s="59" customFormat="1" ht="12" customHeight="1" x14ac:dyDescent="0.25">
      <c r="B12" s="39">
        <f t="shared" ref="B12:H12" si="0">SUM(B8:B11)</f>
        <v>0</v>
      </c>
      <c r="C12" s="39">
        <f t="shared" si="0"/>
        <v>0</v>
      </c>
      <c r="D12" s="39">
        <f t="shared" si="0"/>
        <v>0</v>
      </c>
      <c r="E12" s="39">
        <f t="shared" si="0"/>
        <v>0</v>
      </c>
      <c r="F12" s="39">
        <f t="shared" si="0"/>
        <v>0</v>
      </c>
      <c r="G12" s="39">
        <f t="shared" si="0"/>
        <v>0</v>
      </c>
      <c r="H12" s="265">
        <f t="shared" si="0"/>
        <v>0</v>
      </c>
      <c r="I12" s="64"/>
      <c r="J12" s="64"/>
      <c r="K12" s="64"/>
      <c r="L12" s="64"/>
    </row>
    <row r="13" spans="1:12" s="26" customFormat="1" ht="12" customHeight="1" x14ac:dyDescent="0.25">
      <c r="A13" s="26" t="s">
        <v>273</v>
      </c>
      <c r="B13" s="49">
        <f>'Vrije kasstroom'!E5</f>
        <v>0</v>
      </c>
      <c r="C13" s="49">
        <f>'Vrije kasstroom'!F5</f>
        <v>0</v>
      </c>
      <c r="D13" s="49">
        <f>'Vrije kasstroom'!G5</f>
        <v>0</v>
      </c>
      <c r="E13" s="49">
        <f>'Vrije kasstroom'!H5</f>
        <v>0</v>
      </c>
      <c r="F13" s="49">
        <f>'Vrije kasstroom'!I5</f>
        <v>0</v>
      </c>
      <c r="G13" s="49">
        <f>'Vrije kasstroom'!J5</f>
        <v>0</v>
      </c>
      <c r="H13" s="266"/>
      <c r="I13" s="62"/>
      <c r="J13" s="62"/>
      <c r="K13" s="28"/>
      <c r="L13" s="28"/>
    </row>
    <row r="14" spans="1:12" s="59" customFormat="1" ht="12" customHeight="1" x14ac:dyDescent="0.25">
      <c r="A14" s="48" t="s">
        <v>429</v>
      </c>
      <c r="B14" s="39">
        <f t="shared" ref="B14:G14" si="1">SUM(B12:B13)</f>
        <v>0</v>
      </c>
      <c r="C14" s="39">
        <f t="shared" si="1"/>
        <v>0</v>
      </c>
      <c r="D14" s="39">
        <f t="shared" si="1"/>
        <v>0</v>
      </c>
      <c r="E14" s="39">
        <f t="shared" si="1"/>
        <v>0</v>
      </c>
      <c r="F14" s="39">
        <f t="shared" si="1"/>
        <v>0</v>
      </c>
      <c r="G14" s="39">
        <f t="shared" si="1"/>
        <v>0</v>
      </c>
      <c r="H14" s="265">
        <f>H12</f>
        <v>0</v>
      </c>
      <c r="I14" s="64"/>
      <c r="J14" s="64"/>
      <c r="K14" s="64"/>
      <c r="L14" s="64"/>
    </row>
    <row r="15" spans="1:12" s="59" customFormat="1" ht="12" customHeight="1" x14ac:dyDescent="0.25">
      <c r="A15" s="48" t="s">
        <v>430</v>
      </c>
      <c r="B15" s="39" t="str">
        <f>IFERROR('Vrije kasstroom'!E7*B12,"")</f>
        <v/>
      </c>
      <c r="C15" s="39" t="str">
        <f>IFERROR('Vrije kasstroom'!F7*C12,"")</f>
        <v/>
      </c>
      <c r="D15" s="39" t="str">
        <f>IFERROR('Vrije kasstroom'!G7*D12,"")</f>
        <v/>
      </c>
      <c r="E15" s="39" t="str">
        <f>IFERROR('Vrije kasstroom'!H7*E12,"")</f>
        <v/>
      </c>
      <c r="F15" s="39" t="str">
        <f>IFERROR('Vrije kasstroom'!I7*F12,"")</f>
        <v/>
      </c>
      <c r="G15" s="39" t="str">
        <f>IFERROR('Vrije kasstroom'!J7*G12,"")</f>
        <v/>
      </c>
      <c r="H15" s="265" t="str">
        <f>IFERROR('Vrije kasstroom'!J7*H12,"")</f>
        <v/>
      </c>
      <c r="I15" s="64"/>
      <c r="J15" s="64"/>
      <c r="K15" s="64"/>
      <c r="L15" s="64"/>
    </row>
    <row r="16" spans="1:12" s="59" customFormat="1" ht="12" customHeight="1" x14ac:dyDescent="0.25">
      <c r="A16" s="48" t="s">
        <v>431</v>
      </c>
      <c r="B16" s="39">
        <f>'Invoer algemeen en balans'!E71</f>
        <v>0</v>
      </c>
      <c r="C16" s="39">
        <f>'Invoer algemeen en balans'!F71</f>
        <v>0</v>
      </c>
      <c r="D16" s="39">
        <f>'Invoer algemeen en balans'!G71</f>
        <v>0</v>
      </c>
      <c r="E16" s="39">
        <f>'Invoer algemeen en balans'!H71</f>
        <v>0</v>
      </c>
      <c r="F16" s="39">
        <f>'Invoer algemeen en balans'!I71</f>
        <v>0</v>
      </c>
      <c r="G16" s="39">
        <f>'Invoer algemeen en balans'!J71</f>
        <v>0</v>
      </c>
      <c r="H16" s="265">
        <f>-'Invoer algemeen en balans'!J70*'Invoer algemeen en balans'!inflatie</f>
        <v>0</v>
      </c>
      <c r="I16" s="64"/>
      <c r="J16" s="64"/>
      <c r="K16" s="64"/>
      <c r="L16" s="64"/>
    </row>
    <row r="17" spans="1:12" s="59" customFormat="1" ht="12" customHeight="1" x14ac:dyDescent="0.25">
      <c r="A17" s="26" t="s">
        <v>432</v>
      </c>
      <c r="B17" s="49">
        <f>'Vrije kasstroom'!E13-B11</f>
        <v>0</v>
      </c>
      <c r="C17" s="49">
        <f>'Vrije kasstroom'!F13-C11</f>
        <v>0</v>
      </c>
      <c r="D17" s="49">
        <f>'Vrije kasstroom'!G13-D11</f>
        <v>0</v>
      </c>
      <c r="E17" s="49">
        <f>'Vrije kasstroom'!H13-E11</f>
        <v>0</v>
      </c>
      <c r="F17" s="49">
        <f>'Vrije kasstroom'!I13-F11</f>
        <v>0</v>
      </c>
      <c r="G17" s="49">
        <f>'Vrije kasstroom'!J13-G11</f>
        <v>0</v>
      </c>
      <c r="H17" s="266"/>
      <c r="I17" s="64"/>
      <c r="J17" s="64"/>
      <c r="K17" s="64"/>
      <c r="L17" s="64"/>
    </row>
    <row r="18" spans="1:12" s="59" customFormat="1" ht="12" customHeight="1" x14ac:dyDescent="0.25">
      <c r="A18" s="59" t="s">
        <v>433</v>
      </c>
      <c r="B18" s="39">
        <f>SUM(B14:B17)</f>
        <v>0</v>
      </c>
      <c r="C18" s="39">
        <f t="shared" ref="C18:G18" si="2">SUM(C14:C17)</f>
        <v>0</v>
      </c>
      <c r="D18" s="39">
        <f t="shared" si="2"/>
        <v>0</v>
      </c>
      <c r="E18" s="39">
        <f t="shared" si="2"/>
        <v>0</v>
      </c>
      <c r="F18" s="39">
        <f t="shared" si="2"/>
        <v>0</v>
      </c>
      <c r="G18" s="39">
        <f t="shared" si="2"/>
        <v>0</v>
      </c>
      <c r="H18" s="265">
        <f>SUM(H14:H17)</f>
        <v>0</v>
      </c>
      <c r="I18" s="64"/>
    </row>
    <row r="19" spans="1:12" s="59" customFormat="1" ht="12" customHeight="1" x14ac:dyDescent="0.25">
      <c r="A19" s="59" t="s">
        <v>434</v>
      </c>
      <c r="B19" s="39"/>
      <c r="C19" s="39"/>
      <c r="D19" s="39"/>
      <c r="E19" s="39"/>
      <c r="F19" s="39"/>
      <c r="G19" s="67"/>
      <c r="H19" s="267" t="str">
        <f>IFERROR(H18/(IF(C3="Keu Referentie",WACCReferentieRest,IF(C3="Build-Up",WACCBuildUpRest,""))-'Invoer algemeen en balans'!inflatie),"")</f>
        <v/>
      </c>
      <c r="I19" s="64"/>
    </row>
    <row r="20" spans="1:12" s="59" customFormat="1" ht="12" customHeight="1" x14ac:dyDescent="0.25">
      <c r="A20" s="200" t="s">
        <v>435</v>
      </c>
      <c r="B20" s="227" t="str">
        <f>IFERROR(B18/(1+IF(C3="Keu Referentie",WACCReferentieScen,IF(C3="Build-Up",WACCBuildUpScen,""))),"")</f>
        <v/>
      </c>
      <c r="C20" s="227" t="str">
        <f>IFERROR(C18/(1+IF(C3="Keu Referentie",WACCReferentieScen,IF(C3="Build-Up",WACCBuildUpScen,"")))^2,"")</f>
        <v/>
      </c>
      <c r="D20" s="227" t="str">
        <f>IFERROR(D18/(1+IF(C3="Keu Referentie",WACCReferentieScen,IF(C3="Build-Up",WACCBuildUpScen,"")))^3,"")</f>
        <v/>
      </c>
      <c r="E20" s="227" t="str">
        <f>IFERROR(E18/(1+IF(C3="Keu Referentie",WACCReferentieScen,IF(C3="Build-Up",WACCBuildUpScen,"")))^4,"")</f>
        <v/>
      </c>
      <c r="F20" s="227" t="str">
        <f>IFERROR(F18/(1+IF(C3="Keu Referentie",WACCReferentieScen,IF(C3="Build-Up",WACCBuildUpScen,"")))^5,"")</f>
        <v/>
      </c>
      <c r="G20" s="227" t="str">
        <f>IFERROR(G18/(1+IF(C3="Keu Referentie",WACCReferentieScen,IF(C3="Build-Up",WACCBuildUpScen,"")))^6,"")</f>
        <v/>
      </c>
      <c r="H20" s="260" t="str">
        <f>IFERROR(H19/(1+IF(C3="Keu Referentie",WACCReferentieRest,IF(C3="Build-Up",WACCBuildUpRest,"")))^6,"")</f>
        <v/>
      </c>
      <c r="I20" s="260">
        <f>SUM(B20:H20)</f>
        <v>0</v>
      </c>
    </row>
    <row r="21" spans="1:12" s="59" customFormat="1" ht="12" customHeight="1" x14ac:dyDescent="0.25">
      <c r="A21" s="68"/>
      <c r="B21" s="69"/>
      <c r="C21" s="69"/>
      <c r="D21" s="69"/>
      <c r="E21" s="69"/>
      <c r="F21" s="69"/>
      <c r="G21" s="69"/>
      <c r="H21" s="69"/>
      <c r="I21" s="70"/>
    </row>
    <row r="22" spans="1:12" s="59" customFormat="1" ht="12" customHeight="1" x14ac:dyDescent="0.3">
      <c r="A22" s="48"/>
      <c r="B22" s="71"/>
      <c r="C22" s="71"/>
      <c r="D22" s="71"/>
      <c r="E22" s="71"/>
      <c r="F22" s="71"/>
      <c r="G22" s="48"/>
      <c r="H22" s="48"/>
      <c r="I22" s="65"/>
    </row>
    <row r="23" spans="1:12" s="59" customFormat="1" ht="12" customHeight="1" x14ac:dyDescent="0.3">
      <c r="A23" s="57" t="s">
        <v>436</v>
      </c>
      <c r="B23" s="72"/>
      <c r="C23" s="72"/>
      <c r="D23" s="72"/>
      <c r="E23" s="72"/>
      <c r="F23" s="72"/>
      <c r="G23" s="73"/>
      <c r="H23" s="73"/>
      <c r="I23" s="57"/>
    </row>
    <row r="24" spans="1:12" s="59" customFormat="1" ht="12" customHeight="1" x14ac:dyDescent="0.25">
      <c r="A24" s="48" t="s">
        <v>437</v>
      </c>
      <c r="B24" s="74"/>
      <c r="C24" s="74"/>
      <c r="D24" s="74"/>
      <c r="E24" s="74"/>
      <c r="F24" s="74"/>
      <c r="I24" s="39">
        <f>I20</f>
        <v>0</v>
      </c>
    </row>
    <row r="25" spans="1:12" s="59" customFormat="1" ht="12" customHeight="1" x14ac:dyDescent="0.25">
      <c r="A25" s="303" t="s">
        <v>438</v>
      </c>
      <c r="B25" s="303"/>
      <c r="C25" s="303"/>
      <c r="I25" s="64">
        <f>'Invoer algemeen en balans'!D9</f>
        <v>0</v>
      </c>
    </row>
    <row r="26" spans="1:12" s="59" customFormat="1" ht="12" customHeight="1" x14ac:dyDescent="0.25">
      <c r="A26" s="59" t="s">
        <v>439</v>
      </c>
      <c r="I26" s="64">
        <f>'Invoer algemeen en balans'!D10+'Invoer algemeen en balans'!D11</f>
        <v>0</v>
      </c>
    </row>
    <row r="27" spans="1:12" s="59" customFormat="1" ht="12" customHeight="1" x14ac:dyDescent="0.25">
      <c r="A27" s="48" t="s">
        <v>440</v>
      </c>
      <c r="I27" s="75">
        <f>'Invoer algemeen en balans'!D12+'Invoer algemeen en balans'!D13</f>
        <v>0</v>
      </c>
    </row>
    <row r="28" spans="1:12" s="59" customFormat="1" ht="12" customHeight="1" x14ac:dyDescent="0.25">
      <c r="A28" s="59" t="s">
        <v>441</v>
      </c>
      <c r="I28" s="39">
        <f>I24-I25-I26+I27</f>
        <v>0</v>
      </c>
      <c r="J28" s="196"/>
    </row>
    <row r="29" spans="1:12" s="26" customFormat="1" ht="12" customHeight="1" x14ac:dyDescent="0.25">
      <c r="A29" s="196"/>
      <c r="B29" s="196"/>
      <c r="C29" s="196"/>
      <c r="D29" s="196"/>
      <c r="E29" s="196"/>
      <c r="F29" s="196"/>
      <c r="G29" s="196"/>
      <c r="H29" s="196"/>
      <c r="I29" s="231"/>
      <c r="J29" s="196"/>
    </row>
    <row r="30" spans="1:12" ht="12" customHeight="1" x14ac:dyDescent="0.3">
      <c r="A30" s="57" t="s">
        <v>442</v>
      </c>
      <c r="B30" s="72"/>
      <c r="C30" s="72"/>
      <c r="D30" s="72"/>
      <c r="E30" s="72"/>
      <c r="F30" s="72"/>
      <c r="G30" s="73"/>
      <c r="H30" s="73"/>
      <c r="I30" s="57"/>
      <c r="J30" s="228"/>
    </row>
    <row r="31" spans="1:12" ht="12" customHeight="1" x14ac:dyDescent="0.3">
      <c r="A31" s="304" t="str">
        <f>IF('Invoer exploitatie'!J18&gt;20%,"Ratio EBITDA tot sales is hoger dan 20% in het laatste prognosejaar en daarmee in de restperiode. Verklaren waarom dit realistisch en duurzaam is!",IF('Invoer exploitatie'!J18-AVERAGE('Invoer exploitatie'!B18:D18)&gt;2%,"Ratio EBITDA tot sales is in het laatste prognosejaar en daarmee in de restperiode 2% hoger dan in de historische jaren. Verklaren waarom dit realistisch en duurzaam is!",""))</f>
        <v/>
      </c>
      <c r="B31" s="304"/>
      <c r="C31" s="304"/>
      <c r="D31" s="304"/>
      <c r="E31" s="304"/>
      <c r="F31" s="304"/>
      <c r="G31" s="304"/>
      <c r="H31" s="304"/>
      <c r="I31" s="304"/>
      <c r="J31" s="228"/>
    </row>
    <row r="32" spans="1:12" ht="12" customHeight="1" x14ac:dyDescent="0.3">
      <c r="A32" s="305" t="str">
        <f>IF('Vrije kasstroom'!E16&amp;'Vrije kasstroom'!F16&amp;'Vrije kasstroom'!G16&amp;'Vrije kasstroom'!H16&amp;'Vrije kasstroom'!I16&amp;'Vrije kasstroom'!J16="","","De mutatie werkkapitaal is groter dan 5% van de waarde. Verklaren waarom dit realistisch is!")</f>
        <v/>
      </c>
      <c r="B32" s="305"/>
      <c r="C32" s="305"/>
      <c r="D32" s="305"/>
      <c r="E32" s="305"/>
      <c r="F32" s="305"/>
      <c r="G32" s="305"/>
      <c r="H32" s="305"/>
      <c r="I32" s="305"/>
      <c r="J32" s="228"/>
    </row>
    <row r="33" spans="1:10" ht="12" customHeight="1" x14ac:dyDescent="0.3">
      <c r="A33" s="229"/>
      <c r="F33" s="230"/>
      <c r="I33" s="18"/>
      <c r="J33" s="228"/>
    </row>
    <row r="34" spans="1:10" ht="11.6" hidden="1" x14ac:dyDescent="0.3"/>
    <row r="35" spans="1:10" ht="11.6" hidden="1" x14ac:dyDescent="0.3"/>
    <row r="36" spans="1:10" ht="11.6" hidden="1" x14ac:dyDescent="0.3"/>
    <row r="37" spans="1:10" ht="11.6" hidden="1" x14ac:dyDescent="0.3"/>
    <row r="38" spans="1:10" ht="11.6" hidden="1" x14ac:dyDescent="0.3"/>
    <row r="39" spans="1:10" ht="11.6" hidden="1" x14ac:dyDescent="0.3"/>
    <row r="40" spans="1:10" ht="11.6" hidden="1" x14ac:dyDescent="0.3"/>
    <row r="41" spans="1:10" ht="11.6" hidden="1" x14ac:dyDescent="0.3"/>
    <row r="42" spans="1:10" ht="11.6" hidden="1" x14ac:dyDescent="0.3"/>
    <row r="43" spans="1:10" ht="11.6" hidden="1" x14ac:dyDescent="0.3"/>
    <row r="44" spans="1:10" ht="11.6" hidden="1" x14ac:dyDescent="0.3"/>
    <row r="45" spans="1:10" ht="11.6" hidden="1" x14ac:dyDescent="0.3"/>
    <row r="46" spans="1:10" ht="11.6" hidden="1" x14ac:dyDescent="0.3"/>
    <row r="47" spans="1:10" ht="11.6" hidden="1" x14ac:dyDescent="0.3"/>
    <row r="48" spans="1:10" ht="11.6" hidden="1" x14ac:dyDescent="0.3"/>
    <row r="49" ht="11.6" hidden="1" x14ac:dyDescent="0.3"/>
    <row r="50" ht="11.6" hidden="1" x14ac:dyDescent="0.3"/>
    <row r="51" ht="11.6" hidden="1" x14ac:dyDescent="0.3"/>
    <row r="52" ht="11.6" hidden="1" x14ac:dyDescent="0.3"/>
    <row r="53" ht="11.6" hidden="1" x14ac:dyDescent="0.3"/>
    <row r="54" ht="11.6" hidden="1" x14ac:dyDescent="0.3"/>
    <row r="55" ht="11.6" hidden="1" x14ac:dyDescent="0.3"/>
    <row r="56" ht="11.6" hidden="1" x14ac:dyDescent="0.3"/>
    <row r="57" ht="11.6" hidden="1" x14ac:dyDescent="0.3"/>
    <row r="58" ht="11.6" hidden="1" x14ac:dyDescent="0.3"/>
    <row r="59" ht="11.6" hidden="1" x14ac:dyDescent="0.3"/>
    <row r="60" ht="11.6" hidden="1" x14ac:dyDescent="0.3"/>
    <row r="61" ht="11.6" hidden="1" x14ac:dyDescent="0.3"/>
    <row r="62" ht="11.6" hidden="1" x14ac:dyDescent="0.3"/>
    <row r="63" ht="11.6" hidden="1" x14ac:dyDescent="0.3"/>
    <row r="64" ht="11.6" hidden="1" x14ac:dyDescent="0.3"/>
    <row r="65" ht="11.6" hidden="1" x14ac:dyDescent="0.3"/>
    <row r="66" ht="11.6" hidden="1" x14ac:dyDescent="0.3"/>
    <row r="67" ht="11.6" hidden="1" x14ac:dyDescent="0.3"/>
    <row r="68" ht="11.6" hidden="1" x14ac:dyDescent="0.3"/>
    <row r="69" ht="11.6" hidden="1" x14ac:dyDescent="0.3"/>
    <row r="70" ht="11.6" hidden="1" x14ac:dyDescent="0.3"/>
    <row r="71" ht="11.6" hidden="1" x14ac:dyDescent="0.3"/>
    <row r="72" ht="11.6" hidden="1" x14ac:dyDescent="0.3"/>
    <row r="73" ht="11.6" hidden="1" x14ac:dyDescent="0.3"/>
    <row r="74" ht="11.6" hidden="1" x14ac:dyDescent="0.3"/>
    <row r="75" ht="11.6" hidden="1" x14ac:dyDescent="0.3"/>
    <row r="76" ht="11.6" hidden="1" x14ac:dyDescent="0.3"/>
    <row r="77" ht="11.6" hidden="1" x14ac:dyDescent="0.3"/>
    <row r="78" ht="11.6" hidden="1" x14ac:dyDescent="0.3"/>
    <row r="79" ht="11.6" hidden="1" x14ac:dyDescent="0.3"/>
    <row r="80" ht="11.6" hidden="1" x14ac:dyDescent="0.3"/>
    <row r="81" ht="11.6" hidden="1" x14ac:dyDescent="0.3"/>
    <row r="82" ht="11.6" hidden="1" x14ac:dyDescent="0.3"/>
    <row r="83" ht="11.6" hidden="1" x14ac:dyDescent="0.3"/>
    <row r="84" ht="11.6" hidden="1" x14ac:dyDescent="0.3"/>
    <row r="85" ht="11.6" hidden="1" x14ac:dyDescent="0.3"/>
    <row r="86" ht="11.6" hidden="1" x14ac:dyDescent="0.3"/>
  </sheetData>
  <sheetProtection sheet="1" objects="1" scenarios="1"/>
  <mergeCells count="3">
    <mergeCell ref="A25:C25"/>
    <mergeCell ref="A31:I31"/>
    <mergeCell ref="A32:I32"/>
  </mergeCells>
  <dataValidations count="1">
    <dataValidation type="list" allowBlank="1" showInputMessage="1" showErrorMessage="1" sqref="C3" xr:uid="{95CB30DE-6A0B-4338-8EB4-4B7C6E22A087}">
      <formula1>"Keu Referentie, Build-up"</formula1>
    </dataValidation>
  </dataValidations>
  <pageMargins left="0.7" right="0.7" top="0.75" bottom="0.75" header="0.3" footer="0.3"/>
  <pageSetup paperSize="9" orientation="landscape" r:id="rId1"/>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L115"/>
  <sheetViews>
    <sheetView showGridLines="0" zoomScaleNormal="100" workbookViewId="0">
      <selection activeCell="C3" sqref="C3"/>
    </sheetView>
  </sheetViews>
  <sheetFormatPr defaultColWidth="0" defaultRowHeight="11.6" zeroHeight="1" x14ac:dyDescent="0.3"/>
  <cols>
    <col min="1" max="1" width="45" style="12" customWidth="1"/>
    <col min="2" max="9" width="11.23046875" style="12" customWidth="1"/>
    <col min="10" max="10" width="2.69140625" style="12" customWidth="1"/>
    <col min="11" max="11" width="7.3046875" style="12" hidden="1" customWidth="1"/>
    <col min="12" max="12" width="7.84375" style="12" hidden="1" customWidth="1"/>
    <col min="13" max="16384" width="0" style="12" hidden="1"/>
  </cols>
  <sheetData>
    <row r="1" spans="1:12" s="16" customFormat="1" ht="14.15" x14ac:dyDescent="0.35">
      <c r="A1" s="1" t="s">
        <v>443</v>
      </c>
      <c r="B1" s="17"/>
      <c r="C1" s="17"/>
      <c r="D1" s="17"/>
      <c r="E1" s="17"/>
      <c r="F1" s="17"/>
      <c r="G1" s="17"/>
      <c r="H1" s="17"/>
      <c r="I1" s="17"/>
      <c r="J1" s="17"/>
    </row>
    <row r="2" spans="1:12" ht="12" customHeight="1" x14ac:dyDescent="0.3">
      <c r="A2" s="36"/>
      <c r="B2" s="37"/>
      <c r="C2" s="37"/>
      <c r="D2" s="37"/>
      <c r="E2" s="37"/>
      <c r="F2" s="37"/>
      <c r="G2" s="37"/>
      <c r="H2" s="37"/>
      <c r="I2" s="37"/>
      <c r="J2" s="196"/>
    </row>
    <row r="3" spans="1:12" ht="12" customHeight="1" x14ac:dyDescent="0.3">
      <c r="A3" s="48" t="s">
        <v>395</v>
      </c>
      <c r="B3" s="37"/>
      <c r="C3" s="7"/>
      <c r="D3" s="37"/>
      <c r="E3" s="37"/>
      <c r="F3" s="37"/>
      <c r="G3" s="37"/>
      <c r="H3" s="37"/>
      <c r="I3" s="37"/>
      <c r="J3" s="196"/>
    </row>
    <row r="4" spans="1:12" ht="12" customHeight="1" x14ac:dyDescent="0.3">
      <c r="A4" s="200" t="s">
        <v>444</v>
      </c>
      <c r="B4" s="196"/>
      <c r="C4" s="223" t="str">
        <f>IF(C3="Keu Referentie",IF(KeuReferentie="Nog niet alle velden zijn ingevuld, er kan nog geen rendementseis worden vastgesteld.","Nog geen rendementseis vastgesteld. Ga terug naar de tab rendementseis.",KeuReferentie),IF(C3="Build-Up",KeuBuildUp,""))</f>
        <v/>
      </c>
      <c r="D4" s="196"/>
      <c r="E4" s="196"/>
      <c r="F4" s="196"/>
      <c r="G4" s="196"/>
      <c r="H4" s="196"/>
      <c r="I4" s="196"/>
      <c r="J4" s="196"/>
    </row>
    <row r="5" spans="1:12" ht="12" customHeight="1" x14ac:dyDescent="0.3">
      <c r="A5" s="200"/>
      <c r="B5" s="196"/>
      <c r="C5" s="232"/>
      <c r="D5" s="196"/>
      <c r="E5" s="196"/>
      <c r="F5" s="196"/>
      <c r="G5" s="196"/>
      <c r="H5" s="196"/>
      <c r="I5" s="196"/>
      <c r="J5" s="196"/>
    </row>
    <row r="6" spans="1:12" ht="12" customHeight="1" x14ac:dyDescent="0.3">
      <c r="A6" s="196"/>
      <c r="B6" s="196"/>
      <c r="C6" s="196"/>
      <c r="D6" s="233"/>
      <c r="E6" s="196"/>
      <c r="F6" s="196"/>
      <c r="G6" s="196"/>
      <c r="H6" s="196"/>
      <c r="I6" s="196"/>
      <c r="J6" s="196"/>
    </row>
    <row r="7" spans="1:12" ht="12" customHeight="1" x14ac:dyDescent="0.3">
      <c r="A7" s="201" t="str">
        <f>"Jaar             "&amp;"(bedragen x € "&amp;IF('Invoer algemeen en balans'!$D$4="x 1.000","1.000",1)&amp;")"</f>
        <v>Jaar             (bedragen x € 1.000)</v>
      </c>
      <c r="B7" s="201">
        <f>'Invoer algemeen en balans'!E15</f>
        <v>2026</v>
      </c>
      <c r="C7" s="201">
        <f>B7+1</f>
        <v>2027</v>
      </c>
      <c r="D7" s="201">
        <f>C7+1</f>
        <v>2028</v>
      </c>
      <c r="E7" s="201">
        <f>D7+1</f>
        <v>2029</v>
      </c>
      <c r="F7" s="201">
        <f>E7+1</f>
        <v>2030</v>
      </c>
      <c r="G7" s="201">
        <f>F7+1</f>
        <v>2031</v>
      </c>
      <c r="H7" s="234" t="s">
        <v>425</v>
      </c>
      <c r="I7" s="234" t="s">
        <v>426</v>
      </c>
      <c r="J7" s="196"/>
    </row>
    <row r="8" spans="1:12" ht="12" customHeight="1" x14ac:dyDescent="0.3">
      <c r="A8" s="196" t="s">
        <v>427</v>
      </c>
      <c r="B8" s="227">
        <f>'Invoer exploitatie'!E26</f>
        <v>0</v>
      </c>
      <c r="C8" s="227">
        <f>'Invoer exploitatie'!F26</f>
        <v>0</v>
      </c>
      <c r="D8" s="227">
        <f>'Invoer exploitatie'!G26</f>
        <v>0</v>
      </c>
      <c r="E8" s="227">
        <f>'Invoer exploitatie'!H26</f>
        <v>0</v>
      </c>
      <c r="F8" s="227">
        <f>'Invoer exploitatie'!I26</f>
        <v>0</v>
      </c>
      <c r="G8" s="227">
        <f>'Invoer exploitatie'!J26</f>
        <v>0</v>
      </c>
      <c r="H8" s="259">
        <f>G8*(1+'Invoer algemeen en balans'!inflatie)</f>
        <v>0</v>
      </c>
      <c r="I8" s="227"/>
      <c r="J8" s="62"/>
      <c r="K8" s="13"/>
      <c r="L8" s="13"/>
    </row>
    <row r="9" spans="1:12" ht="12" customHeight="1" x14ac:dyDescent="0.3">
      <c r="A9" s="196" t="s">
        <v>428</v>
      </c>
      <c r="B9" s="227">
        <f>-'Invoer exploitatie'!E34</f>
        <v>0</v>
      </c>
      <c r="C9" s="227">
        <f>-'Invoer exploitatie'!F34</f>
        <v>0</v>
      </c>
      <c r="D9" s="227">
        <f>-'Invoer exploitatie'!G34</f>
        <v>0</v>
      </c>
      <c r="E9" s="227">
        <f>-'Invoer exploitatie'!H34</f>
        <v>0</v>
      </c>
      <c r="F9" s="227">
        <f>-'Invoer exploitatie'!I34</f>
        <v>0</v>
      </c>
      <c r="G9" s="227">
        <f>-'Invoer exploitatie'!J34</f>
        <v>0</v>
      </c>
      <c r="H9" s="260">
        <f>G9*(1+'Invoer algemeen en balans'!inflatie)</f>
        <v>0</v>
      </c>
      <c r="I9" s="227"/>
      <c r="J9" s="62"/>
      <c r="K9" s="13"/>
      <c r="L9" s="13"/>
    </row>
    <row r="10" spans="1:12" ht="12" customHeight="1" x14ac:dyDescent="0.3">
      <c r="A10" s="196" t="s">
        <v>253</v>
      </c>
      <c r="B10" s="227">
        <f>-'Invoer exploitatie'!E78</f>
        <v>0</v>
      </c>
      <c r="C10" s="227">
        <f>-'Invoer exploitatie'!F78</f>
        <v>0</v>
      </c>
      <c r="D10" s="227">
        <f>-'Invoer exploitatie'!G78</f>
        <v>0</v>
      </c>
      <c r="E10" s="227">
        <f>-'Invoer exploitatie'!H78</f>
        <v>0</v>
      </c>
      <c r="F10" s="227">
        <f>-'Invoer exploitatie'!I78</f>
        <v>0</v>
      </c>
      <c r="G10" s="227">
        <f>-'Invoer exploitatie'!J78</f>
        <v>0</v>
      </c>
      <c r="H10" s="260">
        <f>G10*(1+'Invoer algemeen en balans'!inflatie)</f>
        <v>0</v>
      </c>
      <c r="I10" s="227"/>
      <c r="J10" s="62"/>
      <c r="K10" s="13"/>
      <c r="L10" s="13"/>
    </row>
    <row r="11" spans="1:12" ht="12" customHeight="1" x14ac:dyDescent="0.3">
      <c r="A11" s="196" t="s">
        <v>277</v>
      </c>
      <c r="B11" s="235">
        <f>-'Invoer exploitatie'!E88</f>
        <v>0</v>
      </c>
      <c r="C11" s="235">
        <f>-'Invoer exploitatie'!F88</f>
        <v>0</v>
      </c>
      <c r="D11" s="235">
        <f>-'Invoer exploitatie'!G88</f>
        <v>0</v>
      </c>
      <c r="E11" s="235">
        <f>-'Invoer exploitatie'!H88</f>
        <v>0</v>
      </c>
      <c r="F11" s="235">
        <f>-'Invoer exploitatie'!I88</f>
        <v>0</v>
      </c>
      <c r="G11" s="235">
        <f>-'Invoer exploitatie'!J88</f>
        <v>0</v>
      </c>
      <c r="H11" s="261">
        <f>G11*(1+'Invoer algemeen en balans'!inflatie)</f>
        <v>0</v>
      </c>
      <c r="I11" s="227"/>
      <c r="J11" s="62"/>
      <c r="K11" s="13"/>
      <c r="L11" s="13"/>
    </row>
    <row r="12" spans="1:12" ht="12" customHeight="1" x14ac:dyDescent="0.3">
      <c r="A12" s="196"/>
      <c r="B12" s="227">
        <f t="shared" ref="B12:H12" si="0">SUM(B8:B11)</f>
        <v>0</v>
      </c>
      <c r="C12" s="227">
        <f t="shared" si="0"/>
        <v>0</v>
      </c>
      <c r="D12" s="227">
        <f t="shared" si="0"/>
        <v>0</v>
      </c>
      <c r="E12" s="227">
        <f t="shared" si="0"/>
        <v>0</v>
      </c>
      <c r="F12" s="227">
        <f t="shared" si="0"/>
        <v>0</v>
      </c>
      <c r="G12" s="227">
        <f t="shared" si="0"/>
        <v>0</v>
      </c>
      <c r="H12" s="260">
        <f t="shared" si="0"/>
        <v>0</v>
      </c>
      <c r="I12" s="227"/>
      <c r="J12" s="62"/>
      <c r="K12" s="13"/>
      <c r="L12" s="13"/>
    </row>
    <row r="13" spans="1:12" ht="12" customHeight="1" x14ac:dyDescent="0.3">
      <c r="A13" s="196" t="s">
        <v>273</v>
      </c>
      <c r="B13" s="235">
        <f>'Vrije kasstroom'!E5</f>
        <v>0</v>
      </c>
      <c r="C13" s="235">
        <f>'Vrije kasstroom'!F5</f>
        <v>0</v>
      </c>
      <c r="D13" s="235">
        <f>'Vrije kasstroom'!G5</f>
        <v>0</v>
      </c>
      <c r="E13" s="235">
        <f>'Vrije kasstroom'!H5</f>
        <v>0</v>
      </c>
      <c r="F13" s="235">
        <f>'Vrije kasstroom'!I5</f>
        <v>0</v>
      </c>
      <c r="G13" s="235">
        <f>'Vrije kasstroom'!J5</f>
        <v>0</v>
      </c>
      <c r="H13" s="261"/>
      <c r="I13" s="227"/>
      <c r="J13" s="62"/>
      <c r="K13" s="13"/>
      <c r="L13" s="13"/>
    </row>
    <row r="14" spans="1:12" ht="12" customHeight="1" x14ac:dyDescent="0.3">
      <c r="A14" s="200" t="s">
        <v>429</v>
      </c>
      <c r="B14" s="227">
        <f t="shared" ref="B14:G14" si="1">SUM(B12:B13)</f>
        <v>0</v>
      </c>
      <c r="C14" s="227">
        <f t="shared" si="1"/>
        <v>0</v>
      </c>
      <c r="D14" s="227">
        <f t="shared" si="1"/>
        <v>0</v>
      </c>
      <c r="E14" s="227">
        <f t="shared" si="1"/>
        <v>0</v>
      </c>
      <c r="F14" s="227">
        <f t="shared" si="1"/>
        <v>0</v>
      </c>
      <c r="G14" s="227">
        <f t="shared" si="1"/>
        <v>0</v>
      </c>
      <c r="H14" s="260">
        <f>H12</f>
        <v>0</v>
      </c>
      <c r="I14" s="227"/>
      <c r="J14" s="62"/>
      <c r="K14" s="13"/>
      <c r="L14" s="13"/>
    </row>
    <row r="15" spans="1:12" ht="12" customHeight="1" x14ac:dyDescent="0.3">
      <c r="A15" s="200" t="s">
        <v>430</v>
      </c>
      <c r="B15" s="227" t="str">
        <f>IFERROR('Vrije kasstroom'!E7*B12,"")</f>
        <v/>
      </c>
      <c r="C15" s="227" t="str">
        <f>IFERROR('Vrije kasstroom'!F7*C12,"")</f>
        <v/>
      </c>
      <c r="D15" s="227" t="str">
        <f>IFERROR('Vrije kasstroom'!G7*D12,"")</f>
        <v/>
      </c>
      <c r="E15" s="227" t="str">
        <f>IFERROR('Vrije kasstroom'!H7*E12,"")</f>
        <v/>
      </c>
      <c r="F15" s="227" t="str">
        <f>IFERROR('Vrije kasstroom'!I7*F12,"")</f>
        <v/>
      </c>
      <c r="G15" s="227" t="str">
        <f>IFERROR('Vrije kasstroom'!J7*G12,"")</f>
        <v/>
      </c>
      <c r="H15" s="260" t="str">
        <f>IFERROR('Vrije kasstroom'!J7*H12,"")</f>
        <v/>
      </c>
      <c r="I15" s="227"/>
      <c r="J15" s="62"/>
      <c r="K15" s="13"/>
      <c r="L15" s="13"/>
    </row>
    <row r="16" spans="1:12" ht="12" customHeight="1" x14ac:dyDescent="0.3">
      <c r="A16" s="200" t="s">
        <v>431</v>
      </c>
      <c r="B16" s="227">
        <f>'Invoer algemeen en balans'!E71</f>
        <v>0</v>
      </c>
      <c r="C16" s="227">
        <f>'Invoer algemeen en balans'!F71</f>
        <v>0</v>
      </c>
      <c r="D16" s="227">
        <f>'Invoer algemeen en balans'!G71</f>
        <v>0</v>
      </c>
      <c r="E16" s="227">
        <f>'Invoer algemeen en balans'!H71</f>
        <v>0</v>
      </c>
      <c r="F16" s="227">
        <f>'Invoer algemeen en balans'!I71</f>
        <v>0</v>
      </c>
      <c r="G16" s="227">
        <f>'Invoer algemeen en balans'!J71</f>
        <v>0</v>
      </c>
      <c r="H16" s="260">
        <f>-'Invoer algemeen en balans'!J70*'Invoer algemeen en balans'!inflatie</f>
        <v>0</v>
      </c>
      <c r="I16" s="227"/>
      <c r="J16" s="62"/>
      <c r="K16" s="13"/>
      <c r="L16" s="13"/>
    </row>
    <row r="17" spans="1:12" ht="12" customHeight="1" x14ac:dyDescent="0.3">
      <c r="A17" s="236" t="s">
        <v>432</v>
      </c>
      <c r="B17" s="235">
        <f>'Vrije kasstroom'!E13-B11</f>
        <v>0</v>
      </c>
      <c r="C17" s="235">
        <f>'Vrije kasstroom'!F13-C11</f>
        <v>0</v>
      </c>
      <c r="D17" s="235">
        <f>'Vrije kasstroom'!G13-D11</f>
        <v>0</v>
      </c>
      <c r="E17" s="235">
        <f>'Vrije kasstroom'!H13-E11</f>
        <v>0</v>
      </c>
      <c r="F17" s="235">
        <f>'Vrije kasstroom'!I13-F11</f>
        <v>0</v>
      </c>
      <c r="G17" s="235">
        <f>'Vrije kasstroom'!J13-G11</f>
        <v>0</v>
      </c>
      <c r="H17" s="261"/>
      <c r="I17" s="227"/>
      <c r="J17" s="62"/>
      <c r="K17" s="13"/>
      <c r="L17" s="13"/>
    </row>
    <row r="18" spans="1:12" ht="12" customHeight="1" x14ac:dyDescent="0.3">
      <c r="A18" s="196" t="s">
        <v>433</v>
      </c>
      <c r="B18" s="227">
        <f>SUM(B14:B17)</f>
        <v>0</v>
      </c>
      <c r="C18" s="227">
        <f t="shared" ref="C18:H18" si="2">SUM(C14:C17)</f>
        <v>0</v>
      </c>
      <c r="D18" s="227">
        <f t="shared" si="2"/>
        <v>0</v>
      </c>
      <c r="E18" s="227">
        <f t="shared" si="2"/>
        <v>0</v>
      </c>
      <c r="F18" s="227">
        <f t="shared" si="2"/>
        <v>0</v>
      </c>
      <c r="G18" s="227">
        <f t="shared" si="2"/>
        <v>0</v>
      </c>
      <c r="H18" s="260">
        <f t="shared" si="2"/>
        <v>0</v>
      </c>
      <c r="I18" s="227" t="s">
        <v>291</v>
      </c>
      <c r="J18" s="196"/>
    </row>
    <row r="19" spans="1:12" ht="12" customHeight="1" x14ac:dyDescent="0.3">
      <c r="A19" s="196" t="s">
        <v>445</v>
      </c>
      <c r="B19" s="227"/>
      <c r="C19" s="227"/>
      <c r="D19" s="227"/>
      <c r="E19" s="227"/>
      <c r="F19" s="227"/>
      <c r="G19" s="227"/>
      <c r="H19" s="260" t="str">
        <f>IFERROR(H18/(IF(C3="Keu Referentie",KeuReferentie,IF(C3="Build-Up",KeuBuildUp,""))-'Invoer algemeen en balans'!inflatie),"")</f>
        <v/>
      </c>
      <c r="I19" s="227"/>
      <c r="J19" s="196"/>
    </row>
    <row r="20" spans="1:12" ht="12" customHeight="1" x14ac:dyDescent="0.3">
      <c r="A20" s="200" t="s">
        <v>446</v>
      </c>
      <c r="B20" s="227" t="str">
        <f>IFERROR(B18/(1+IF(C3="Keu Referentie",KeuReferentie,IF(C3="Build-Up",KeuBuildUp,""))),"")</f>
        <v/>
      </c>
      <c r="C20" s="227" t="str">
        <f>IFERROR(C18/(1+IF(C3="Keu Referentie",KeuReferentie,IF(C3="Build-Up",KeuBuildUp,"")))^2,"")</f>
        <v/>
      </c>
      <c r="D20" s="227" t="str">
        <f>IFERROR(D18/(1+IF(C3="Keu Referentie",KeuReferentie,IF(C3="Build-Up",KeuBuildUp,"")))^3,"")</f>
        <v/>
      </c>
      <c r="E20" s="227" t="str">
        <f>IFERROR(E18/(1+IF(C3="Keu Referentie",KeuReferentie,IF(C3="Build-Up",KeuBuildUp,"")))^4,"")</f>
        <v/>
      </c>
      <c r="F20" s="227" t="str">
        <f>IFERROR(F18/(1+IF(C3="Keu Referentie",KeuReferentie,IF(C3="Build-Up",KeuBuildUp,"")))^5,"")</f>
        <v/>
      </c>
      <c r="G20" s="227" t="str">
        <f>IFERROR(G18/(1+IF(C3="Keu Referentie",KeuReferentie,IF(C3="Build-Up",KeuBuildUp,"")))^6,"")</f>
        <v/>
      </c>
      <c r="H20" s="260" t="str">
        <f>IFERROR(H19/(1+IF(C3="Keu Referentie",WACCReferentieRest,IF(C3="Build-Up",WACCBuildUpRest,"")))^6,"")</f>
        <v/>
      </c>
      <c r="I20" s="227">
        <f>SUM(B20:H20)</f>
        <v>0</v>
      </c>
      <c r="J20" s="196"/>
    </row>
    <row r="21" spans="1:12" ht="12" customHeight="1" x14ac:dyDescent="0.3">
      <c r="A21" s="200"/>
      <c r="B21" s="227"/>
      <c r="C21" s="227"/>
      <c r="D21" s="227"/>
      <c r="E21" s="227"/>
      <c r="F21" s="227"/>
      <c r="G21" s="227"/>
      <c r="H21" s="262"/>
      <c r="I21" s="227"/>
      <c r="J21" s="196"/>
    </row>
    <row r="22" spans="1:12" ht="12" customHeight="1" x14ac:dyDescent="0.3">
      <c r="A22" s="306" t="s">
        <v>447</v>
      </c>
      <c r="B22" s="303"/>
      <c r="C22" s="227"/>
      <c r="D22" s="227"/>
      <c r="E22" s="227"/>
      <c r="F22" s="227"/>
      <c r="G22" s="227"/>
      <c r="H22" s="262"/>
      <c r="I22" s="227"/>
      <c r="J22" s="196"/>
    </row>
    <row r="23" spans="1:12" ht="12" customHeight="1" x14ac:dyDescent="0.3">
      <c r="A23" s="200" t="s">
        <v>448</v>
      </c>
      <c r="B23" s="227">
        <f>-'Invoer exploitatie'!E93</f>
        <v>0</v>
      </c>
      <c r="C23" s="227">
        <f>-'Invoer exploitatie'!F93</f>
        <v>0</v>
      </c>
      <c r="D23" s="227">
        <f>-'Invoer exploitatie'!G93</f>
        <v>0</v>
      </c>
      <c r="E23" s="227">
        <f>-'Invoer exploitatie'!H93</f>
        <v>0</v>
      </c>
      <c r="F23" s="227">
        <f>-'Invoer exploitatie'!I93</f>
        <v>0</v>
      </c>
      <c r="G23" s="227">
        <f>-'Invoer exploitatie'!J93</f>
        <v>0</v>
      </c>
      <c r="H23" s="262"/>
      <c r="I23" s="227"/>
      <c r="J23" s="196"/>
    </row>
    <row r="24" spans="1:12" ht="12" customHeight="1" x14ac:dyDescent="0.3">
      <c r="A24" s="200" t="s">
        <v>449</v>
      </c>
      <c r="B24" s="227">
        <f>'Invoer exploitatie'!E100-'Vrije kasstroom'!E8</f>
        <v>0</v>
      </c>
      <c r="C24" s="227">
        <f>'Invoer exploitatie'!F100-'Vrije kasstroom'!F8</f>
        <v>0</v>
      </c>
      <c r="D24" s="227">
        <f>'Invoer exploitatie'!G100-'Vrije kasstroom'!G8</f>
        <v>0</v>
      </c>
      <c r="E24" s="227">
        <f>'Invoer exploitatie'!H100-'Vrije kasstroom'!H8</f>
        <v>0</v>
      </c>
      <c r="F24" s="227">
        <f>'Invoer exploitatie'!I100-'Vrije kasstroom'!I8</f>
        <v>0</v>
      </c>
      <c r="G24" s="227">
        <f>'Invoer exploitatie'!J100-'Vrije kasstroom'!J8</f>
        <v>0</v>
      </c>
      <c r="H24" s="263" t="str">
        <f>IFERROR(H18/(IF(C3="Keu Referentie",WACCReferentieRest,IF(C3="Build-Up",WACCBuildUpRest,""))-'Invoer algemeen en balans'!inflatie)-H19,"")</f>
        <v/>
      </c>
      <c r="I24" s="227"/>
      <c r="J24" s="196"/>
    </row>
    <row r="25" spans="1:12" ht="12" customHeight="1" x14ac:dyDescent="0.3">
      <c r="A25" s="200" t="s">
        <v>446</v>
      </c>
      <c r="B25" s="227" t="str">
        <f>IFERROR(+B24/(1+IF(C3="Keu Referentie",KeuReferentie,IF(C3="Build-Up",KeuBuildUp,""))),"")</f>
        <v/>
      </c>
      <c r="C25" s="227" t="str">
        <f>IFERROR(+C24/(1+IF(C3="Keu Referentie",KeuReferentie,IF(C3="Build-Up",KeuBuildUp,"")))^2,"")</f>
        <v/>
      </c>
      <c r="D25" s="227" t="str">
        <f>IFERROR(+D24/(1+IF(C3="Keu Referentie",KeuReferentie,IF(C3="Build-Up",KeuBuildUp,"")))^3,"")</f>
        <v/>
      </c>
      <c r="E25" s="227" t="str">
        <f>IFERROR(+E24/(1+IF(C3="Keu Referentie",KeuReferentie,IF(C3="Build-Up",KeuBuildUp,"")))^4,"")</f>
        <v/>
      </c>
      <c r="F25" s="227" t="str">
        <f>IFERROR(+F24/(1+IF(C3="Keu Referentie",KeuReferentie,IF(C3="Build-Up",KeuBuildUp,"")))^5,"")</f>
        <v/>
      </c>
      <c r="G25" s="227" t="str">
        <f>IFERROR(+G24/(1+IF(C3="Keu Referentie",KeuReferentie,IF(C3="Build-Up",KeuBuildUp,"")))^6,"")</f>
        <v/>
      </c>
      <c r="H25" s="263" t="str">
        <f>IFERROR(+H24/(1+IF(C3="Keu Referentie",WACCReferentieRest,IF(C3="Build-Up",WACCBuildUpRest,"")))^6,"")</f>
        <v/>
      </c>
      <c r="I25" s="227">
        <f>+SUM(B25:H25)</f>
        <v>0</v>
      </c>
      <c r="J25" s="196"/>
    </row>
    <row r="26" spans="1:12" ht="12" customHeight="1" x14ac:dyDescent="0.3">
      <c r="A26" s="200"/>
      <c r="B26" s="62"/>
      <c r="C26" s="62"/>
      <c r="D26" s="62"/>
      <c r="E26" s="62"/>
      <c r="F26" s="62"/>
      <c r="G26" s="62"/>
      <c r="H26" s="254"/>
      <c r="I26" s="62"/>
      <c r="J26" s="196"/>
    </row>
    <row r="27" spans="1:12" ht="12" customHeight="1" x14ac:dyDescent="0.3">
      <c r="A27" s="200"/>
      <c r="B27" s="237"/>
      <c r="C27" s="62"/>
      <c r="D27" s="62"/>
      <c r="E27" s="62"/>
      <c r="F27" s="62"/>
      <c r="G27" s="62"/>
      <c r="H27" s="62"/>
      <c r="I27" s="62"/>
      <c r="J27" s="196"/>
    </row>
    <row r="28" spans="1:12" ht="12" customHeight="1" x14ac:dyDescent="0.3">
      <c r="A28" s="201" t="s">
        <v>436</v>
      </c>
      <c r="B28" s="201"/>
      <c r="C28" s="201"/>
      <c r="D28" s="201"/>
      <c r="E28" s="201"/>
      <c r="F28" s="201"/>
      <c r="G28" s="201"/>
      <c r="H28" s="201"/>
      <c r="I28" s="201"/>
      <c r="J28" s="196"/>
    </row>
    <row r="29" spans="1:12" ht="12" customHeight="1" x14ac:dyDescent="0.3">
      <c r="A29" s="196" t="s">
        <v>450</v>
      </c>
      <c r="B29" s="196"/>
      <c r="C29" s="196"/>
      <c r="D29" s="196"/>
      <c r="E29" s="196"/>
      <c r="F29" s="196"/>
      <c r="G29" s="196"/>
      <c r="H29" s="196"/>
      <c r="I29" s="62">
        <f>I20</f>
        <v>0</v>
      </c>
      <c r="J29" s="196"/>
    </row>
    <row r="30" spans="1:12" ht="12" customHeight="1" x14ac:dyDescent="0.3">
      <c r="A30" s="306" t="s">
        <v>451</v>
      </c>
      <c r="B30" s="303"/>
      <c r="C30" s="303"/>
      <c r="D30" s="303"/>
      <c r="E30" s="303"/>
      <c r="F30" s="196"/>
      <c r="G30" s="196"/>
      <c r="H30" s="196"/>
      <c r="I30" s="238">
        <f>+I25</f>
        <v>0</v>
      </c>
      <c r="J30" s="196"/>
    </row>
    <row r="31" spans="1:12" ht="12" customHeight="1" x14ac:dyDescent="0.3">
      <c r="A31" s="303" t="s">
        <v>438</v>
      </c>
      <c r="B31" s="303"/>
      <c r="C31" s="303"/>
      <c r="D31" s="196"/>
      <c r="E31" s="196"/>
      <c r="F31" s="196"/>
      <c r="G31" s="196"/>
      <c r="H31" s="196"/>
      <c r="I31" s="62">
        <f>'Invoer algemeen en balans'!D9</f>
        <v>0</v>
      </c>
      <c r="J31" s="196"/>
    </row>
    <row r="32" spans="1:12" ht="12" customHeight="1" x14ac:dyDescent="0.3">
      <c r="A32" s="196" t="s">
        <v>439</v>
      </c>
      <c r="B32" s="196"/>
      <c r="C32" s="196"/>
      <c r="D32" s="228"/>
      <c r="E32" s="228"/>
      <c r="F32" s="228"/>
      <c r="G32" s="228"/>
      <c r="H32" s="228"/>
      <c r="I32" s="62">
        <f>'Invoer algemeen en balans'!D10+'Invoer algemeen en balans'!D11</f>
        <v>0</v>
      </c>
      <c r="J32" s="196"/>
    </row>
    <row r="33" spans="1:10" ht="12" customHeight="1" x14ac:dyDescent="0.3">
      <c r="A33" s="200" t="s">
        <v>440</v>
      </c>
      <c r="B33" s="196"/>
      <c r="C33" s="196"/>
      <c r="D33" s="196"/>
      <c r="E33" s="196"/>
      <c r="F33" s="196"/>
      <c r="G33" s="196"/>
      <c r="H33" s="196"/>
      <c r="I33" s="239">
        <f>'Invoer algemeen en balans'!D12+'Invoer algemeen en balans'!D13</f>
        <v>0</v>
      </c>
      <c r="J33" s="196"/>
    </row>
    <row r="34" spans="1:10" ht="12" customHeight="1" x14ac:dyDescent="0.3">
      <c r="A34" s="200" t="s">
        <v>441</v>
      </c>
      <c r="B34" s="196"/>
      <c r="C34" s="196"/>
      <c r="D34" s="196"/>
      <c r="E34" s="196"/>
      <c r="F34" s="196"/>
      <c r="G34" s="196"/>
      <c r="H34" s="196"/>
      <c r="I34" s="62">
        <f>I29+I30-I31-I32+I33</f>
        <v>0</v>
      </c>
      <c r="J34" s="196"/>
    </row>
    <row r="35" spans="1:10" ht="12" customHeight="1" x14ac:dyDescent="0.3">
      <c r="A35" s="196"/>
      <c r="B35" s="196"/>
      <c r="C35" s="196"/>
      <c r="D35" s="196"/>
      <c r="E35" s="196"/>
      <c r="F35" s="196"/>
      <c r="G35" s="196"/>
      <c r="H35" s="196"/>
      <c r="I35" s="196"/>
      <c r="J35" s="196"/>
    </row>
    <row r="36" spans="1:10" ht="12" customHeight="1" x14ac:dyDescent="0.3">
      <c r="A36" s="201" t="s">
        <v>442</v>
      </c>
      <c r="B36" s="240"/>
      <c r="C36" s="240"/>
      <c r="D36" s="240"/>
      <c r="E36" s="240"/>
      <c r="F36" s="240"/>
      <c r="G36" s="241"/>
      <c r="H36" s="241"/>
      <c r="I36" s="201"/>
      <c r="J36" s="196"/>
    </row>
    <row r="37" spans="1:10" ht="12" customHeight="1" x14ac:dyDescent="0.3">
      <c r="A37" s="307" t="str">
        <f>IF('Invoer exploitatie'!J18&gt;20%,"Ratio EBITDA tot sales is hoger dan 20% in het laatste prognosejaar en daarmee in de restperiode. Verklaren waarom dit realistisch en duurzaam is!",IF('Invoer exploitatie'!J18-AVERAGE('Invoer exploitatie'!B18:D18)&gt;2%,"Ratio EBITDA tot sales is in het laatste prognosejaar en daarmee in de restperiode 2% hoger dan in de historische jaren. Verklaren waarom dit realistisch en duurzaam is!",""))</f>
        <v/>
      </c>
      <c r="B37" s="307"/>
      <c r="C37" s="307"/>
      <c r="D37" s="307"/>
      <c r="E37" s="307"/>
      <c r="F37" s="307"/>
      <c r="G37" s="307"/>
      <c r="H37" s="307"/>
      <c r="I37" s="307"/>
      <c r="J37" s="196"/>
    </row>
    <row r="38" spans="1:10" ht="12" customHeight="1" x14ac:dyDescent="0.3">
      <c r="A38" s="308" t="str">
        <f>IF('Vrije kasstroom'!E16&amp;'Vrije kasstroom'!F16&amp;'Vrije kasstroom'!G16&amp;'Vrije kasstroom'!H16&amp;'Vrije kasstroom'!I16&amp;'Vrije kasstroom'!J16="","","De mutatie werkkapitaal is groter dan 5% van de waarde. Verklaren waarom dit realistisch is!")</f>
        <v/>
      </c>
      <c r="B38" s="308"/>
      <c r="C38" s="308"/>
      <c r="D38" s="308"/>
      <c r="E38" s="308"/>
      <c r="F38" s="308"/>
      <c r="G38" s="308"/>
      <c r="H38" s="308"/>
      <c r="I38" s="308"/>
      <c r="J38" s="228"/>
    </row>
    <row r="39" spans="1:10" ht="12" customHeight="1" x14ac:dyDescent="0.3">
      <c r="A39" s="229"/>
      <c r="B39" s="228"/>
      <c r="C39" s="228"/>
      <c r="D39" s="228"/>
      <c r="E39" s="228"/>
      <c r="F39" s="228"/>
      <c r="G39" s="228"/>
      <c r="H39" s="228"/>
      <c r="I39" s="230"/>
      <c r="J39" s="228"/>
    </row>
    <row r="40" spans="1:10" hidden="1" x14ac:dyDescent="0.3">
      <c r="A40" s="228"/>
      <c r="B40" s="228"/>
      <c r="C40" s="228"/>
      <c r="D40" s="228"/>
      <c r="E40" s="228"/>
      <c r="F40" s="228"/>
      <c r="G40" s="228"/>
      <c r="H40" s="228"/>
      <c r="I40" s="230"/>
      <c r="J40" s="228"/>
    </row>
    <row r="41" spans="1:10" hidden="1" x14ac:dyDescent="0.3">
      <c r="A41" s="229"/>
      <c r="B41" s="228"/>
      <c r="C41" s="228"/>
      <c r="D41" s="228"/>
      <c r="E41" s="228"/>
      <c r="F41" s="228"/>
      <c r="G41" s="228"/>
      <c r="H41" s="228"/>
      <c r="I41" s="230"/>
      <c r="J41" s="228"/>
    </row>
    <row r="42" spans="1:10" hidden="1" x14ac:dyDescent="0.3">
      <c r="A42" s="228"/>
      <c r="B42" s="228"/>
      <c r="C42" s="230"/>
      <c r="D42" s="228"/>
      <c r="E42" s="228"/>
      <c r="F42" s="228"/>
      <c r="G42" s="228"/>
      <c r="H42" s="228"/>
      <c r="I42" s="228"/>
      <c r="J42" s="228"/>
    </row>
    <row r="43" spans="1:10" hidden="1" x14ac:dyDescent="0.3">
      <c r="A43" s="228"/>
      <c r="B43" s="228"/>
      <c r="C43" s="230"/>
      <c r="D43" s="228"/>
      <c r="E43" s="228"/>
      <c r="F43" s="228"/>
      <c r="G43" s="228"/>
      <c r="H43" s="228"/>
      <c r="I43" s="228"/>
      <c r="J43" s="228"/>
    </row>
    <row r="44" spans="1:10" hidden="1" x14ac:dyDescent="0.3">
      <c r="A44" s="228"/>
      <c r="B44" s="228"/>
      <c r="C44" s="242"/>
      <c r="D44" s="228"/>
      <c r="E44" s="228"/>
      <c r="F44" s="228"/>
      <c r="G44" s="228"/>
      <c r="H44" s="228"/>
      <c r="I44" s="228"/>
      <c r="J44" s="228"/>
    </row>
    <row r="45" spans="1:10" ht="10.199999999999999" hidden="1" customHeight="1" x14ac:dyDescent="0.3">
      <c r="A45" s="228"/>
      <c r="B45" s="228"/>
      <c r="C45" s="242"/>
      <c r="D45" s="228"/>
      <c r="E45" s="228"/>
      <c r="F45" s="228"/>
      <c r="G45" s="228"/>
      <c r="H45" s="228"/>
      <c r="I45" s="228"/>
      <c r="J45" s="228"/>
    </row>
    <row r="46" spans="1:10" ht="10.199999999999999" hidden="1" customHeight="1" x14ac:dyDescent="0.3">
      <c r="A46" s="228"/>
      <c r="B46" s="228"/>
      <c r="C46" s="230"/>
      <c r="D46" s="228"/>
      <c r="E46" s="228"/>
      <c r="F46" s="228"/>
      <c r="G46" s="228"/>
      <c r="H46" s="228"/>
      <c r="I46" s="228"/>
      <c r="J46" s="228"/>
    </row>
    <row r="47" spans="1:10" ht="10.199999999999999" hidden="1" customHeight="1" x14ac:dyDescent="0.3">
      <c r="A47" s="228"/>
      <c r="B47" s="228"/>
      <c r="C47" s="228"/>
      <c r="D47" s="228"/>
      <c r="E47" s="228"/>
      <c r="F47" s="228"/>
      <c r="G47" s="228"/>
      <c r="H47" s="243"/>
      <c r="I47" s="228"/>
      <c r="J47" s="228"/>
    </row>
    <row r="48" spans="1:10" ht="10.199999999999999" hidden="1" customHeight="1" x14ac:dyDescent="0.3">
      <c r="A48" s="228"/>
      <c r="B48" s="228"/>
      <c r="C48" s="228"/>
      <c r="D48" s="228"/>
      <c r="E48" s="228"/>
      <c r="F48" s="228"/>
      <c r="G48" s="228"/>
      <c r="H48" s="228"/>
      <c r="I48" s="228"/>
      <c r="J48" s="228"/>
    </row>
    <row r="49" spans="1:10" ht="10.199999999999999" hidden="1" customHeight="1" x14ac:dyDescent="0.3">
      <c r="A49" s="228"/>
      <c r="B49" s="228"/>
      <c r="C49" s="228"/>
      <c r="D49" s="228"/>
      <c r="E49" s="228"/>
      <c r="F49" s="228"/>
      <c r="G49" s="228"/>
      <c r="H49" s="228"/>
      <c r="I49" s="228"/>
      <c r="J49" s="228"/>
    </row>
    <row r="50" spans="1:10" ht="10.199999999999999" hidden="1" customHeight="1" x14ac:dyDescent="0.3">
      <c r="A50" s="228"/>
      <c r="B50" s="228"/>
      <c r="C50" s="228"/>
      <c r="D50" s="228"/>
      <c r="E50" s="228"/>
      <c r="F50" s="228"/>
      <c r="G50" s="228"/>
      <c r="H50" s="228"/>
      <c r="I50" s="228"/>
      <c r="J50" s="228"/>
    </row>
    <row r="51" spans="1:10" ht="10.199999999999999" hidden="1" customHeight="1" x14ac:dyDescent="0.3">
      <c r="A51" s="228"/>
      <c r="B51" s="228"/>
      <c r="C51" s="228"/>
      <c r="D51" s="228"/>
      <c r="E51" s="228"/>
      <c r="F51" s="228"/>
      <c r="G51" s="228"/>
      <c r="H51" s="228"/>
      <c r="I51" s="228"/>
      <c r="J51" s="228"/>
    </row>
    <row r="52" spans="1:10" ht="10.199999999999999" hidden="1" customHeight="1" x14ac:dyDescent="0.3">
      <c r="A52" s="228"/>
      <c r="B52" s="228"/>
      <c r="C52" s="228"/>
      <c r="D52" s="228"/>
      <c r="E52" s="228"/>
      <c r="F52" s="228"/>
      <c r="G52" s="228"/>
      <c r="H52" s="228"/>
      <c r="I52" s="228"/>
      <c r="J52" s="228"/>
    </row>
    <row r="53" spans="1:10" ht="10.199999999999999" hidden="1" customHeight="1" x14ac:dyDescent="0.3">
      <c r="A53" s="228"/>
      <c r="B53" s="228"/>
      <c r="C53" s="228"/>
      <c r="D53" s="228"/>
      <c r="E53" s="228"/>
      <c r="F53" s="228"/>
      <c r="G53" s="228"/>
      <c r="H53" s="228"/>
      <c r="I53" s="228"/>
      <c r="J53" s="228"/>
    </row>
    <row r="54" spans="1:10" ht="10.199999999999999" hidden="1" customHeight="1" x14ac:dyDescent="0.3">
      <c r="A54" s="228"/>
      <c r="B54" s="228"/>
      <c r="C54" s="228"/>
      <c r="D54" s="228"/>
      <c r="E54" s="228"/>
      <c r="F54" s="228"/>
      <c r="G54" s="228"/>
      <c r="H54" s="228"/>
      <c r="I54" s="228"/>
      <c r="J54" s="228"/>
    </row>
    <row r="55" spans="1:10" ht="10.199999999999999" hidden="1" customHeight="1" x14ac:dyDescent="0.3">
      <c r="A55" s="228"/>
      <c r="B55" s="228"/>
      <c r="C55" s="228"/>
      <c r="D55" s="228"/>
      <c r="E55" s="228"/>
      <c r="F55" s="228"/>
      <c r="G55" s="228"/>
      <c r="H55" s="228"/>
      <c r="I55" s="228"/>
      <c r="J55" s="228"/>
    </row>
    <row r="56" spans="1:10" ht="10.199999999999999" hidden="1" customHeight="1" x14ac:dyDescent="0.3">
      <c r="A56" s="228"/>
      <c r="B56" s="228"/>
      <c r="C56" s="228"/>
      <c r="D56" s="228"/>
      <c r="E56" s="228"/>
      <c r="F56" s="228"/>
      <c r="G56" s="228"/>
      <c r="H56" s="228"/>
      <c r="I56" s="228"/>
      <c r="J56" s="228"/>
    </row>
    <row r="57" spans="1:10" ht="10.199999999999999" hidden="1" customHeight="1" x14ac:dyDescent="0.3">
      <c r="A57" s="228"/>
      <c r="B57" s="228"/>
      <c r="C57" s="228"/>
      <c r="D57" s="228"/>
      <c r="E57" s="228"/>
      <c r="F57" s="228"/>
      <c r="G57" s="228"/>
      <c r="H57" s="228"/>
      <c r="I57" s="228"/>
      <c r="J57" s="228"/>
    </row>
    <row r="58" spans="1:10" ht="10.199999999999999" hidden="1" customHeight="1" x14ac:dyDescent="0.3">
      <c r="A58" s="228"/>
      <c r="B58" s="228"/>
      <c r="C58" s="228"/>
      <c r="D58" s="228"/>
      <c r="E58" s="228"/>
      <c r="F58" s="228"/>
      <c r="G58" s="228"/>
      <c r="H58" s="228"/>
      <c r="I58" s="228"/>
      <c r="J58" s="228"/>
    </row>
    <row r="59" spans="1:10" ht="10.199999999999999" hidden="1" customHeight="1" x14ac:dyDescent="0.3">
      <c r="A59" s="228"/>
      <c r="B59" s="228"/>
      <c r="C59" s="228"/>
      <c r="D59" s="228"/>
      <c r="E59" s="228"/>
      <c r="F59" s="228"/>
      <c r="G59" s="228"/>
      <c r="H59" s="228"/>
      <c r="I59" s="228"/>
      <c r="J59" s="228"/>
    </row>
    <row r="60" spans="1:10" ht="10.199999999999999" hidden="1" customHeight="1" x14ac:dyDescent="0.3">
      <c r="A60" s="228"/>
      <c r="B60" s="228"/>
      <c r="C60" s="228"/>
      <c r="D60" s="228"/>
      <c r="E60" s="228"/>
      <c r="F60" s="228"/>
      <c r="G60" s="228"/>
      <c r="H60" s="228"/>
      <c r="I60" s="228"/>
      <c r="J60" s="228"/>
    </row>
    <row r="61" spans="1:10" ht="10.199999999999999" hidden="1" customHeight="1" x14ac:dyDescent="0.3">
      <c r="A61" s="228"/>
      <c r="B61" s="228"/>
      <c r="C61" s="228"/>
      <c r="D61" s="228"/>
      <c r="E61" s="228"/>
      <c r="F61" s="228"/>
      <c r="G61" s="228"/>
      <c r="H61" s="228"/>
      <c r="I61" s="228"/>
      <c r="J61" s="228"/>
    </row>
    <row r="62" spans="1:10" ht="10.199999999999999" hidden="1" customHeight="1" x14ac:dyDescent="0.3">
      <c r="A62" s="228"/>
      <c r="B62" s="228"/>
      <c r="C62" s="228"/>
      <c r="D62" s="228"/>
      <c r="E62" s="228"/>
      <c r="F62" s="228"/>
      <c r="G62" s="228"/>
      <c r="H62" s="228"/>
      <c r="I62" s="228"/>
      <c r="J62" s="228"/>
    </row>
    <row r="63" spans="1:10" ht="10.199999999999999" hidden="1" customHeight="1" x14ac:dyDescent="0.3">
      <c r="A63" s="228"/>
      <c r="B63" s="228"/>
      <c r="C63" s="228"/>
      <c r="D63" s="228"/>
      <c r="E63" s="228"/>
      <c r="F63" s="228"/>
      <c r="G63" s="228"/>
      <c r="H63" s="228"/>
      <c r="I63" s="228"/>
      <c r="J63" s="228"/>
    </row>
    <row r="64" spans="1:10" ht="10.199999999999999" hidden="1" customHeight="1" x14ac:dyDescent="0.3">
      <c r="A64" s="228"/>
      <c r="B64" s="228"/>
      <c r="C64" s="228"/>
      <c r="D64" s="228"/>
      <c r="E64" s="228"/>
      <c r="F64" s="228"/>
      <c r="G64" s="228"/>
      <c r="H64" s="228"/>
      <c r="I64" s="228"/>
      <c r="J64" s="228"/>
    </row>
    <row r="65" spans="1:10" ht="10.199999999999999" hidden="1" customHeight="1" x14ac:dyDescent="0.3">
      <c r="A65" s="228"/>
      <c r="B65" s="228"/>
      <c r="C65" s="228"/>
      <c r="D65" s="228"/>
      <c r="E65" s="228"/>
      <c r="F65" s="228"/>
      <c r="G65" s="228"/>
      <c r="H65" s="228"/>
      <c r="I65" s="228"/>
      <c r="J65" s="228"/>
    </row>
    <row r="66" spans="1:10" ht="10.199999999999999" hidden="1" customHeight="1" x14ac:dyDescent="0.3">
      <c r="A66" s="228"/>
      <c r="B66" s="228"/>
      <c r="C66" s="228"/>
      <c r="D66" s="228"/>
      <c r="E66" s="228"/>
      <c r="F66" s="228"/>
      <c r="G66" s="228"/>
      <c r="H66" s="228"/>
      <c r="I66" s="228"/>
      <c r="J66" s="228"/>
    </row>
    <row r="67" spans="1:10" ht="10.199999999999999" hidden="1" customHeight="1" x14ac:dyDescent="0.3">
      <c r="A67" s="228"/>
      <c r="B67" s="228"/>
      <c r="C67" s="228"/>
      <c r="D67" s="228"/>
      <c r="E67" s="228"/>
      <c r="F67" s="228"/>
      <c r="G67" s="228"/>
      <c r="H67" s="228"/>
      <c r="I67" s="228"/>
      <c r="J67" s="228"/>
    </row>
    <row r="68" spans="1:10" ht="10.199999999999999" hidden="1" customHeight="1" x14ac:dyDescent="0.3">
      <c r="A68" s="228"/>
      <c r="B68" s="228"/>
      <c r="C68" s="228"/>
      <c r="D68" s="228"/>
      <c r="E68" s="228"/>
      <c r="F68" s="228"/>
      <c r="G68" s="228"/>
      <c r="H68" s="228"/>
      <c r="I68" s="228"/>
      <c r="J68" s="228"/>
    </row>
    <row r="69" spans="1:10" ht="10.199999999999999" hidden="1" customHeight="1" x14ac:dyDescent="0.3">
      <c r="A69" s="228"/>
      <c r="B69" s="228"/>
      <c r="C69" s="228"/>
      <c r="D69" s="228"/>
      <c r="E69" s="228"/>
      <c r="F69" s="228"/>
      <c r="G69" s="228"/>
      <c r="H69" s="228"/>
      <c r="I69" s="228"/>
      <c r="J69" s="228"/>
    </row>
    <row r="70" spans="1:10" ht="10.199999999999999" hidden="1" customHeight="1" x14ac:dyDescent="0.3">
      <c r="A70" s="228"/>
      <c r="B70" s="228"/>
      <c r="C70" s="228"/>
      <c r="D70" s="228"/>
      <c r="E70" s="228"/>
      <c r="F70" s="228"/>
      <c r="G70" s="228"/>
      <c r="H70" s="228"/>
      <c r="I70" s="228"/>
      <c r="J70" s="228"/>
    </row>
    <row r="71" spans="1:10" ht="10.199999999999999" hidden="1" customHeight="1" x14ac:dyDescent="0.3">
      <c r="A71" s="228"/>
      <c r="B71" s="228"/>
      <c r="C71" s="228"/>
      <c r="D71" s="228"/>
      <c r="E71" s="228"/>
      <c r="F71" s="228"/>
      <c r="G71" s="228"/>
      <c r="H71" s="228"/>
      <c r="I71" s="228"/>
      <c r="J71" s="228"/>
    </row>
    <row r="72" spans="1:10" ht="10.199999999999999" hidden="1" customHeight="1" x14ac:dyDescent="0.3">
      <c r="A72" s="228"/>
      <c r="B72" s="228"/>
      <c r="C72" s="228"/>
      <c r="D72" s="228"/>
      <c r="E72" s="228"/>
      <c r="F72" s="228"/>
      <c r="G72" s="228"/>
      <c r="H72" s="228"/>
      <c r="I72" s="228"/>
      <c r="J72" s="228"/>
    </row>
    <row r="73" spans="1:10" ht="10.199999999999999" hidden="1" customHeight="1" x14ac:dyDescent="0.3">
      <c r="A73" s="228"/>
      <c r="B73" s="228"/>
      <c r="C73" s="228"/>
      <c r="D73" s="228"/>
      <c r="E73" s="228"/>
      <c r="F73" s="228"/>
      <c r="G73" s="228"/>
      <c r="H73" s="228"/>
      <c r="I73" s="228"/>
      <c r="J73" s="228"/>
    </row>
    <row r="74" spans="1:10" ht="10.199999999999999" hidden="1" customHeight="1" x14ac:dyDescent="0.3">
      <c r="A74" s="228"/>
      <c r="B74" s="228"/>
      <c r="C74" s="228"/>
      <c r="D74" s="228"/>
      <c r="E74" s="228"/>
      <c r="F74" s="228"/>
      <c r="G74" s="228"/>
      <c r="H74" s="228"/>
      <c r="I74" s="228"/>
      <c r="J74" s="228"/>
    </row>
    <row r="75" spans="1:10" ht="10.199999999999999" hidden="1" customHeight="1" x14ac:dyDescent="0.3">
      <c r="A75" s="228"/>
      <c r="B75" s="228"/>
      <c r="C75" s="228"/>
      <c r="D75" s="228"/>
      <c r="E75" s="228"/>
      <c r="F75" s="228"/>
      <c r="G75" s="228"/>
      <c r="H75" s="228"/>
      <c r="I75" s="228"/>
      <c r="J75" s="228"/>
    </row>
    <row r="76" spans="1:10" ht="10.199999999999999" hidden="1" customHeight="1" x14ac:dyDescent="0.3">
      <c r="A76" s="228"/>
      <c r="B76" s="228"/>
      <c r="C76" s="228"/>
      <c r="D76" s="228"/>
      <c r="E76" s="228"/>
      <c r="F76" s="228"/>
      <c r="G76" s="228"/>
      <c r="H76" s="228"/>
      <c r="I76" s="228"/>
      <c r="J76" s="228"/>
    </row>
    <row r="77" spans="1:10" ht="10.199999999999999" hidden="1" customHeight="1" x14ac:dyDescent="0.3">
      <c r="A77" s="228"/>
      <c r="B77" s="228"/>
      <c r="C77" s="228"/>
      <c r="D77" s="228"/>
      <c r="E77" s="228"/>
      <c r="F77" s="228"/>
      <c r="G77" s="228"/>
      <c r="H77" s="228"/>
      <c r="I77" s="228"/>
      <c r="J77" s="228"/>
    </row>
    <row r="78" spans="1:10" ht="10.199999999999999" hidden="1" customHeight="1" x14ac:dyDescent="0.3">
      <c r="A78" s="228"/>
      <c r="B78" s="228"/>
      <c r="C78" s="228"/>
      <c r="D78" s="228"/>
      <c r="E78" s="228"/>
      <c r="F78" s="228"/>
      <c r="G78" s="228"/>
      <c r="H78" s="228"/>
      <c r="I78" s="228"/>
      <c r="J78" s="228"/>
    </row>
    <row r="79" spans="1:10" ht="10.199999999999999" hidden="1" customHeight="1" x14ac:dyDescent="0.3">
      <c r="A79" s="228"/>
      <c r="B79" s="228"/>
      <c r="C79" s="228"/>
      <c r="D79" s="228"/>
      <c r="E79" s="228"/>
      <c r="F79" s="228"/>
      <c r="G79" s="228"/>
      <c r="H79" s="228"/>
      <c r="I79" s="228"/>
      <c r="J79" s="228"/>
    </row>
    <row r="80" spans="1:10" ht="10.199999999999999" hidden="1" customHeight="1" x14ac:dyDescent="0.3">
      <c r="A80" s="228"/>
      <c r="B80" s="228"/>
      <c r="C80" s="228"/>
      <c r="D80" s="228"/>
      <c r="E80" s="228"/>
      <c r="F80" s="228"/>
      <c r="G80" s="228"/>
      <c r="H80" s="228"/>
      <c r="I80" s="228"/>
      <c r="J80" s="228"/>
    </row>
    <row r="81" spans="1:10" ht="10.199999999999999" hidden="1" customHeight="1" x14ac:dyDescent="0.3">
      <c r="A81" s="228"/>
      <c r="B81" s="228"/>
      <c r="C81" s="228"/>
      <c r="D81" s="228"/>
      <c r="E81" s="228"/>
      <c r="F81" s="228"/>
      <c r="G81" s="228"/>
      <c r="H81" s="228"/>
      <c r="I81" s="228"/>
      <c r="J81" s="228"/>
    </row>
    <row r="82" spans="1:10" ht="10.199999999999999" hidden="1" customHeight="1" x14ac:dyDescent="0.3">
      <c r="A82" s="228"/>
      <c r="B82" s="228"/>
      <c r="C82" s="228"/>
      <c r="D82" s="228"/>
      <c r="E82" s="228"/>
      <c r="F82" s="228"/>
      <c r="G82" s="228"/>
      <c r="H82" s="228"/>
      <c r="I82" s="228"/>
      <c r="J82" s="228"/>
    </row>
    <row r="83" spans="1:10" ht="10.199999999999999" hidden="1" customHeight="1" x14ac:dyDescent="0.3">
      <c r="A83" s="228"/>
      <c r="B83" s="228"/>
      <c r="C83" s="228"/>
      <c r="D83" s="228"/>
      <c r="E83" s="228"/>
      <c r="F83" s="228"/>
      <c r="G83" s="228"/>
      <c r="H83" s="228"/>
      <c r="I83" s="228"/>
      <c r="J83" s="228"/>
    </row>
    <row r="84" spans="1:10" ht="10.199999999999999" hidden="1" customHeight="1" x14ac:dyDescent="0.3">
      <c r="A84" s="228"/>
      <c r="B84" s="228"/>
      <c r="C84" s="228"/>
      <c r="D84" s="228"/>
      <c r="E84" s="228"/>
      <c r="F84" s="228"/>
      <c r="G84" s="228"/>
      <c r="H84" s="228"/>
      <c r="I84" s="228"/>
      <c r="J84" s="228"/>
    </row>
    <row r="85" spans="1:10" ht="10.199999999999999" hidden="1" customHeight="1" x14ac:dyDescent="0.3">
      <c r="A85" s="228"/>
      <c r="B85" s="228"/>
      <c r="C85" s="228"/>
      <c r="D85" s="228"/>
      <c r="E85" s="228"/>
      <c r="F85" s="228"/>
      <c r="G85" s="228"/>
      <c r="H85" s="228"/>
      <c r="I85" s="228"/>
      <c r="J85" s="228"/>
    </row>
    <row r="86" spans="1:10" ht="10.199999999999999" hidden="1" customHeight="1" x14ac:dyDescent="0.3">
      <c r="A86" s="228"/>
      <c r="B86" s="228"/>
      <c r="C86" s="228"/>
      <c r="D86" s="228"/>
      <c r="E86" s="228"/>
      <c r="F86" s="228"/>
      <c r="G86" s="228"/>
      <c r="H86" s="228"/>
      <c r="I86" s="228"/>
      <c r="J86" s="228"/>
    </row>
    <row r="87" spans="1:10" ht="10.199999999999999" hidden="1" customHeight="1" x14ac:dyDescent="0.3">
      <c r="A87" s="228"/>
      <c r="B87" s="228"/>
      <c r="C87" s="228"/>
      <c r="D87" s="228"/>
      <c r="E87" s="228"/>
      <c r="F87" s="228"/>
      <c r="G87" s="228"/>
      <c r="H87" s="228"/>
      <c r="I87" s="228"/>
      <c r="J87" s="228"/>
    </row>
    <row r="88" spans="1:10" ht="10.199999999999999" hidden="1" customHeight="1" x14ac:dyDescent="0.3">
      <c r="A88" s="228"/>
      <c r="B88" s="228"/>
      <c r="C88" s="228"/>
      <c r="D88" s="228"/>
      <c r="E88" s="228"/>
      <c r="F88" s="228"/>
      <c r="G88" s="228"/>
      <c r="H88" s="228"/>
      <c r="I88" s="228"/>
      <c r="J88" s="228"/>
    </row>
    <row r="89" spans="1:10" ht="10.199999999999999" hidden="1" customHeight="1" x14ac:dyDescent="0.3">
      <c r="A89" s="228"/>
      <c r="B89" s="228"/>
      <c r="C89" s="228"/>
      <c r="D89" s="228"/>
      <c r="E89" s="228"/>
      <c r="F89" s="228"/>
      <c r="G89" s="228"/>
      <c r="H89" s="228"/>
      <c r="I89" s="228"/>
      <c r="J89" s="228"/>
    </row>
    <row r="90" spans="1:10" ht="10.199999999999999" hidden="1" customHeight="1" x14ac:dyDescent="0.3">
      <c r="A90" s="228"/>
      <c r="B90" s="228"/>
      <c r="C90" s="228"/>
      <c r="D90" s="228"/>
      <c r="E90" s="228"/>
      <c r="F90" s="228"/>
      <c r="G90" s="228"/>
      <c r="H90" s="228"/>
      <c r="I90" s="228"/>
      <c r="J90" s="228"/>
    </row>
    <row r="91" spans="1:10" ht="10.199999999999999" hidden="1" customHeight="1" x14ac:dyDescent="0.3">
      <c r="A91" s="228"/>
      <c r="B91" s="228"/>
      <c r="C91" s="228"/>
      <c r="D91" s="228"/>
      <c r="E91" s="228"/>
      <c r="F91" s="228"/>
      <c r="G91" s="228"/>
      <c r="H91" s="228"/>
      <c r="I91" s="228"/>
      <c r="J91" s="228"/>
    </row>
    <row r="92" spans="1:10" ht="10.199999999999999" hidden="1" customHeight="1" x14ac:dyDescent="0.3">
      <c r="A92" s="228"/>
      <c r="B92" s="228"/>
      <c r="C92" s="228"/>
      <c r="D92" s="228"/>
      <c r="E92" s="228"/>
      <c r="F92" s="228"/>
      <c r="G92" s="228"/>
      <c r="H92" s="228"/>
      <c r="I92" s="228"/>
      <c r="J92" s="228"/>
    </row>
    <row r="93" spans="1:10" ht="10.199999999999999" hidden="1" customHeight="1" x14ac:dyDescent="0.3">
      <c r="A93" s="228"/>
      <c r="B93" s="228"/>
      <c r="C93" s="228"/>
      <c r="D93" s="228"/>
      <c r="E93" s="228"/>
      <c r="F93" s="228"/>
      <c r="G93" s="228"/>
      <c r="H93" s="228"/>
      <c r="I93" s="228"/>
      <c r="J93" s="228"/>
    </row>
    <row r="94" spans="1:10" ht="10.199999999999999" hidden="1" customHeight="1" x14ac:dyDescent="0.3">
      <c r="A94" s="228"/>
      <c r="B94" s="228"/>
      <c r="C94" s="228"/>
      <c r="D94" s="228"/>
      <c r="E94" s="228"/>
      <c r="F94" s="228"/>
      <c r="G94" s="228"/>
      <c r="H94" s="228"/>
      <c r="I94" s="228"/>
      <c r="J94" s="228"/>
    </row>
    <row r="95" spans="1:10" hidden="1" x14ac:dyDescent="0.3">
      <c r="A95" s="228"/>
      <c r="B95" s="228"/>
      <c r="C95" s="228"/>
      <c r="D95" s="228"/>
      <c r="E95" s="228"/>
      <c r="F95" s="228"/>
      <c r="G95" s="228"/>
      <c r="H95" s="228"/>
      <c r="I95" s="228"/>
      <c r="J95" s="228"/>
    </row>
    <row r="96" spans="1:10" hidden="1" x14ac:dyDescent="0.3">
      <c r="A96" s="228"/>
      <c r="B96" s="228"/>
      <c r="C96" s="228"/>
      <c r="D96" s="228"/>
      <c r="E96" s="228"/>
      <c r="F96" s="228"/>
      <c r="G96" s="228"/>
      <c r="H96" s="228"/>
      <c r="I96" s="228"/>
      <c r="J96" s="228"/>
    </row>
    <row r="97" spans="1:10" hidden="1" x14ac:dyDescent="0.3">
      <c r="A97" s="228"/>
      <c r="B97" s="228"/>
      <c r="C97" s="228"/>
      <c r="D97" s="228"/>
      <c r="E97" s="228"/>
      <c r="F97" s="228"/>
      <c r="G97" s="228"/>
      <c r="H97" s="228"/>
      <c r="I97" s="228"/>
      <c r="J97" s="228"/>
    </row>
    <row r="98" spans="1:10" hidden="1" x14ac:dyDescent="0.3">
      <c r="A98" s="228"/>
      <c r="B98" s="228"/>
      <c r="C98" s="228"/>
      <c r="D98" s="228"/>
      <c r="E98" s="228"/>
      <c r="F98" s="228"/>
      <c r="G98" s="228"/>
      <c r="H98" s="228"/>
      <c r="I98" s="228"/>
      <c r="J98" s="228"/>
    </row>
    <row r="99" spans="1:10" hidden="1" x14ac:dyDescent="0.3">
      <c r="A99" s="228"/>
      <c r="B99" s="228"/>
      <c r="C99" s="228"/>
      <c r="D99" s="228"/>
      <c r="E99" s="228"/>
      <c r="F99" s="228"/>
      <c r="G99" s="228"/>
      <c r="H99" s="228"/>
      <c r="I99" s="228"/>
      <c r="J99" s="228"/>
    </row>
    <row r="100" spans="1:10" hidden="1" x14ac:dyDescent="0.3">
      <c r="A100" s="228"/>
      <c r="B100" s="228"/>
      <c r="C100" s="228"/>
      <c r="D100" s="228"/>
      <c r="E100" s="228"/>
      <c r="F100" s="228"/>
      <c r="G100" s="228"/>
      <c r="H100" s="228"/>
      <c r="I100" s="228"/>
      <c r="J100" s="228"/>
    </row>
    <row r="101" spans="1:10" hidden="1" x14ac:dyDescent="0.3">
      <c r="A101" s="228"/>
      <c r="B101" s="228"/>
      <c r="C101" s="228"/>
      <c r="D101" s="228"/>
      <c r="E101" s="228"/>
      <c r="F101" s="228"/>
      <c r="G101" s="228"/>
      <c r="H101" s="228"/>
      <c r="I101" s="228"/>
      <c r="J101" s="228"/>
    </row>
    <row r="102" spans="1:10" hidden="1" x14ac:dyDescent="0.3">
      <c r="A102" s="228"/>
      <c r="B102" s="228"/>
      <c r="C102" s="228"/>
      <c r="D102" s="228"/>
      <c r="E102" s="228"/>
      <c r="F102" s="228"/>
      <c r="G102" s="228"/>
      <c r="H102" s="228"/>
      <c r="I102" s="228"/>
      <c r="J102" s="228"/>
    </row>
    <row r="103" spans="1:10" hidden="1" x14ac:dyDescent="0.3">
      <c r="A103" s="228"/>
      <c r="B103" s="228"/>
      <c r="C103" s="228"/>
      <c r="D103" s="228"/>
      <c r="E103" s="228"/>
      <c r="F103" s="228"/>
      <c r="G103" s="228"/>
      <c r="H103" s="228"/>
      <c r="I103" s="228"/>
      <c r="J103" s="228"/>
    </row>
    <row r="104" spans="1:10" hidden="1" x14ac:dyDescent="0.3">
      <c r="A104" s="228"/>
      <c r="B104" s="228"/>
      <c r="C104" s="228"/>
      <c r="D104" s="228"/>
      <c r="E104" s="228"/>
      <c r="F104" s="228"/>
      <c r="G104" s="228"/>
      <c r="H104" s="228"/>
      <c r="I104" s="228"/>
      <c r="J104" s="228"/>
    </row>
    <row r="105" spans="1:10" hidden="1" x14ac:dyDescent="0.3">
      <c r="A105" s="228"/>
      <c r="B105" s="228"/>
      <c r="C105" s="228"/>
      <c r="D105" s="228"/>
      <c r="E105" s="228"/>
      <c r="F105" s="228"/>
      <c r="G105" s="228"/>
      <c r="H105" s="228"/>
      <c r="I105" s="228"/>
      <c r="J105" s="228"/>
    </row>
    <row r="106" spans="1:10" hidden="1" x14ac:dyDescent="0.3">
      <c r="A106" s="228"/>
      <c r="B106" s="228"/>
      <c r="C106" s="228"/>
      <c r="D106" s="228"/>
      <c r="E106" s="228"/>
      <c r="F106" s="228"/>
      <c r="G106" s="228"/>
      <c r="H106" s="228"/>
      <c r="I106" s="228"/>
      <c r="J106" s="228"/>
    </row>
    <row r="107" spans="1:10" hidden="1" x14ac:dyDescent="0.3">
      <c r="A107" s="228"/>
      <c r="B107" s="228"/>
      <c r="C107" s="228"/>
      <c r="D107" s="228"/>
      <c r="E107" s="228"/>
      <c r="F107" s="228"/>
      <c r="G107" s="228"/>
      <c r="H107" s="228"/>
      <c r="I107" s="228"/>
      <c r="J107" s="228"/>
    </row>
    <row r="108" spans="1:10" hidden="1" x14ac:dyDescent="0.3">
      <c r="A108" s="228"/>
      <c r="B108" s="228"/>
      <c r="C108" s="228"/>
      <c r="D108" s="228"/>
      <c r="E108" s="228"/>
      <c r="F108" s="228"/>
      <c r="G108" s="228"/>
      <c r="H108" s="228"/>
      <c r="I108" s="228"/>
      <c r="J108" s="228"/>
    </row>
    <row r="109" spans="1:10" hidden="1" x14ac:dyDescent="0.3">
      <c r="A109" s="228"/>
      <c r="B109" s="228"/>
      <c r="C109" s="228"/>
      <c r="D109" s="228"/>
      <c r="E109" s="228"/>
      <c r="F109" s="228"/>
      <c r="G109" s="228"/>
      <c r="H109" s="228"/>
      <c r="I109" s="228"/>
      <c r="J109" s="228"/>
    </row>
    <row r="110" spans="1:10" hidden="1" x14ac:dyDescent="0.3">
      <c r="A110" s="228"/>
      <c r="B110" s="228"/>
      <c r="C110" s="228"/>
      <c r="D110" s="228"/>
      <c r="E110" s="228"/>
      <c r="F110" s="228"/>
      <c r="G110" s="228"/>
      <c r="H110" s="228"/>
      <c r="I110" s="228"/>
      <c r="J110" s="228"/>
    </row>
    <row r="111" spans="1:10" hidden="1" x14ac:dyDescent="0.3">
      <c r="A111" s="228"/>
      <c r="B111" s="228"/>
      <c r="C111" s="228"/>
      <c r="D111" s="228"/>
      <c r="E111" s="228"/>
      <c r="F111" s="228"/>
      <c r="G111" s="228"/>
      <c r="H111" s="228"/>
      <c r="I111" s="228"/>
      <c r="J111" s="228"/>
    </row>
    <row r="112" spans="1:10" hidden="1" x14ac:dyDescent="0.3">
      <c r="A112" s="228"/>
      <c r="B112" s="228"/>
      <c r="C112" s="228"/>
      <c r="D112" s="228"/>
      <c r="E112" s="228"/>
      <c r="F112" s="228"/>
      <c r="G112" s="228"/>
      <c r="H112" s="228"/>
      <c r="I112" s="228"/>
      <c r="J112" s="228"/>
    </row>
    <row r="113" spans="1:10" x14ac:dyDescent="0.3">
      <c r="A113" s="228"/>
      <c r="B113" s="228"/>
      <c r="C113" s="228"/>
      <c r="D113" s="228"/>
      <c r="E113" s="228"/>
      <c r="F113" s="228"/>
      <c r="G113" s="228"/>
      <c r="H113" s="228"/>
      <c r="I113" s="228"/>
      <c r="J113" s="228"/>
    </row>
    <row r="114" spans="1:10" ht="14.25" hidden="1" customHeight="1" x14ac:dyDescent="0.3"/>
    <row r="115" spans="1:10" ht="12" hidden="1" customHeight="1" x14ac:dyDescent="0.3"/>
  </sheetData>
  <sheetProtection sheet="1" objects="1" scenarios="1"/>
  <mergeCells count="5">
    <mergeCell ref="A22:B22"/>
    <mergeCell ref="A30:E30"/>
    <mergeCell ref="A31:C31"/>
    <mergeCell ref="A37:I37"/>
    <mergeCell ref="A38:I38"/>
  </mergeCells>
  <dataValidations count="1">
    <dataValidation type="list" allowBlank="1" showInputMessage="1" showErrorMessage="1" sqref="C3" xr:uid="{A0AAA814-AB27-4817-B15B-5CF256FE39BF}">
      <formula1>"Keu Referentie, Build-up"</formula1>
    </dataValidation>
  </dataValidations>
  <pageMargins left="0.7" right="0.7" top="0.75" bottom="0.75" header="0.3" footer="0.3"/>
  <pageSetup paperSize="9" orientation="landscape" r:id="rId1"/>
  <customProperties>
    <customPr name="OrphanNamesChecked" r:id="rId2"/>
  </customProperties>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IV118"/>
  <sheetViews>
    <sheetView showGridLines="0" topLeftCell="A2" zoomScaleNormal="100" zoomScaleSheetLayoutView="130" workbookViewId="0">
      <selection activeCell="C3" sqref="C3"/>
    </sheetView>
  </sheetViews>
  <sheetFormatPr defaultColWidth="0" defaultRowHeight="11.6" zeroHeight="1" x14ac:dyDescent="0.3"/>
  <cols>
    <col min="1" max="1" width="50.3828125" style="12" bestFit="1" customWidth="1"/>
    <col min="2" max="11" width="9.69140625" style="12" customWidth="1"/>
    <col min="12" max="12" width="2" style="12" customWidth="1"/>
    <col min="13" max="13" width="7.3046875" style="12" hidden="1" customWidth="1"/>
    <col min="14" max="14" width="7.84375" style="12" hidden="1" customWidth="1"/>
    <col min="15" max="15" width="7.3046875" style="12" hidden="1" customWidth="1"/>
    <col min="16" max="16" width="7.84375" style="12" hidden="1" customWidth="1"/>
    <col min="17" max="16384" width="0" style="12" hidden="1"/>
  </cols>
  <sheetData>
    <row r="1" spans="1:12" s="16" customFormat="1" ht="14.15" x14ac:dyDescent="0.35">
      <c r="A1" s="1" t="s">
        <v>452</v>
      </c>
      <c r="B1" s="17"/>
      <c r="C1" s="17"/>
      <c r="D1" s="17"/>
      <c r="E1" s="17"/>
      <c r="F1" s="17"/>
      <c r="G1" s="17"/>
      <c r="H1" s="17"/>
      <c r="I1" s="17"/>
      <c r="J1" s="17"/>
      <c r="K1" s="17"/>
      <c r="L1" s="17"/>
    </row>
    <row r="2" spans="1:12" ht="12" customHeight="1" x14ac:dyDescent="0.3">
      <c r="A2" s="36"/>
      <c r="B2" s="37"/>
      <c r="C2" s="37"/>
      <c r="D2" s="37"/>
      <c r="E2" s="37"/>
      <c r="F2" s="37"/>
      <c r="G2" s="37"/>
      <c r="H2" s="37"/>
      <c r="I2" s="37"/>
      <c r="J2" s="37"/>
      <c r="K2" s="37"/>
      <c r="L2" s="26"/>
    </row>
    <row r="3" spans="1:12" ht="12" customHeight="1" x14ac:dyDescent="0.3">
      <c r="A3" s="2" t="s">
        <v>453</v>
      </c>
      <c r="B3" s="26"/>
      <c r="C3" s="38"/>
      <c r="D3" s="26"/>
      <c r="E3" s="26"/>
      <c r="F3" s="26"/>
      <c r="G3" s="26"/>
      <c r="H3" s="26"/>
      <c r="I3" s="26"/>
      <c r="J3" s="26"/>
      <c r="K3" s="26"/>
      <c r="L3" s="26"/>
    </row>
    <row r="4" spans="1:12" ht="12" customHeight="1" x14ac:dyDescent="0.3">
      <c r="A4" s="2" t="s">
        <v>138</v>
      </c>
      <c r="B4" s="26"/>
      <c r="C4" s="38">
        <f>'Invoer algemeen en balans'!D9</f>
        <v>0</v>
      </c>
      <c r="D4" s="26"/>
      <c r="E4" s="26"/>
      <c r="F4" s="26"/>
      <c r="G4" s="26"/>
      <c r="H4" s="26"/>
      <c r="I4" s="26"/>
      <c r="J4" s="26"/>
      <c r="K4" s="26"/>
      <c r="L4" s="26"/>
    </row>
    <row r="5" spans="1:12" ht="12" customHeight="1" x14ac:dyDescent="0.3">
      <c r="A5" s="2" t="s">
        <v>454</v>
      </c>
      <c r="B5" s="26"/>
      <c r="C5" s="40">
        <f>SUM(C3:C4)</f>
        <v>0</v>
      </c>
      <c r="D5" s="26"/>
      <c r="E5" s="26"/>
      <c r="F5" s="26"/>
      <c r="G5" s="26"/>
      <c r="H5" s="26"/>
      <c r="I5" s="26"/>
      <c r="J5" s="26"/>
      <c r="K5" s="26"/>
      <c r="L5" s="26"/>
    </row>
    <row r="6" spans="1:12" ht="12" customHeight="1" x14ac:dyDescent="0.3">
      <c r="A6" s="2" t="s">
        <v>455</v>
      </c>
      <c r="B6" s="26"/>
      <c r="C6" s="39">
        <f>'Invoer algemeen en balans'!D10</f>
        <v>0</v>
      </c>
      <c r="D6" s="26"/>
      <c r="E6" s="26"/>
      <c r="F6" s="26"/>
      <c r="G6" s="26"/>
      <c r="H6" s="26"/>
      <c r="I6" s="26"/>
      <c r="J6" s="26"/>
      <c r="K6" s="26"/>
      <c r="L6" s="26"/>
    </row>
    <row r="7" spans="1:12" ht="12" customHeight="1" x14ac:dyDescent="0.3">
      <c r="A7" s="2" t="s">
        <v>456</v>
      </c>
      <c r="B7" s="41">
        <v>0.05</v>
      </c>
      <c r="C7" s="26"/>
      <c r="D7" s="26"/>
      <c r="E7" s="26"/>
      <c r="F7" s="26"/>
      <c r="G7" s="26"/>
      <c r="H7" s="26"/>
      <c r="I7" s="26"/>
      <c r="J7" s="26"/>
      <c r="K7" s="26"/>
      <c r="L7" s="26"/>
    </row>
    <row r="8" spans="1:12" ht="12" customHeight="1" x14ac:dyDescent="0.3">
      <c r="A8" s="26" t="s">
        <v>457</v>
      </c>
      <c r="B8" s="26"/>
      <c r="C8" s="38">
        <v>0</v>
      </c>
      <c r="D8" s="26"/>
      <c r="E8" s="26"/>
      <c r="F8" s="26"/>
      <c r="G8" s="26"/>
      <c r="H8" s="26"/>
      <c r="I8" s="26"/>
      <c r="J8" s="26"/>
      <c r="K8" s="26"/>
      <c r="L8" s="26"/>
    </row>
    <row r="9" spans="1:12" ht="12" customHeight="1" x14ac:dyDescent="0.3">
      <c r="A9" s="26" t="s">
        <v>458</v>
      </c>
      <c r="B9" s="42">
        <v>0</v>
      </c>
      <c r="C9" s="43"/>
      <c r="D9" s="26"/>
      <c r="E9" s="26"/>
      <c r="F9" s="26"/>
      <c r="G9" s="26"/>
      <c r="H9" s="26"/>
      <c r="I9" s="26"/>
      <c r="J9" s="26"/>
      <c r="K9" s="26"/>
      <c r="L9" s="26"/>
    </row>
    <row r="10" spans="1:12" ht="12" customHeight="1" x14ac:dyDescent="0.3">
      <c r="A10" s="26" t="s">
        <v>459</v>
      </c>
      <c r="B10" s="26"/>
      <c r="C10" s="38">
        <f>C6</f>
        <v>0</v>
      </c>
      <c r="D10" s="26"/>
      <c r="E10" s="26"/>
      <c r="F10" s="26"/>
      <c r="G10" s="26"/>
      <c r="H10" s="26"/>
      <c r="I10" s="26"/>
      <c r="J10" s="26"/>
      <c r="K10" s="26"/>
      <c r="L10" s="26"/>
    </row>
    <row r="11" spans="1:12" ht="12" customHeight="1" x14ac:dyDescent="0.3">
      <c r="A11" s="26" t="s">
        <v>460</v>
      </c>
      <c r="B11" s="44">
        <v>10</v>
      </c>
      <c r="C11" s="43"/>
      <c r="D11" s="26"/>
      <c r="E11" s="26"/>
      <c r="F11" s="26"/>
      <c r="G11" s="26"/>
      <c r="H11" s="26"/>
      <c r="I11" s="26"/>
      <c r="J11" s="26"/>
      <c r="K11" s="26"/>
      <c r="L11" s="26"/>
    </row>
    <row r="12" spans="1:12" ht="12" customHeight="1" x14ac:dyDescent="0.3">
      <c r="A12" s="26" t="s">
        <v>461</v>
      </c>
      <c r="B12" s="42">
        <v>0</v>
      </c>
      <c r="C12" s="43"/>
      <c r="D12" s="26"/>
      <c r="E12" s="26"/>
      <c r="F12" s="26"/>
      <c r="G12" s="26"/>
      <c r="H12" s="26"/>
      <c r="I12" s="26"/>
      <c r="J12" s="26"/>
      <c r="K12" s="26"/>
      <c r="L12" s="26"/>
    </row>
    <row r="13" spans="1:12" ht="12" customHeight="1" x14ac:dyDescent="0.3">
      <c r="A13" s="26" t="s">
        <v>462</v>
      </c>
      <c r="B13" s="26"/>
      <c r="C13" s="38">
        <v>0</v>
      </c>
      <c r="D13" s="26"/>
      <c r="E13" s="26"/>
      <c r="F13" s="26"/>
      <c r="G13" s="26"/>
      <c r="H13" s="26"/>
      <c r="I13" s="26"/>
      <c r="J13" s="26"/>
      <c r="K13" s="26"/>
      <c r="L13" s="26"/>
    </row>
    <row r="14" spans="1:12" ht="12" customHeight="1" x14ac:dyDescent="0.3">
      <c r="A14" s="2" t="s">
        <v>463</v>
      </c>
      <c r="B14" s="26"/>
      <c r="C14" s="38">
        <f>C5-C8-C10-C13</f>
        <v>0</v>
      </c>
      <c r="D14" s="26"/>
      <c r="E14" s="26"/>
      <c r="F14" s="26"/>
      <c r="G14" s="26"/>
      <c r="H14" s="26"/>
      <c r="I14" s="26"/>
      <c r="J14" s="26"/>
      <c r="K14" s="26"/>
      <c r="L14" s="26"/>
    </row>
    <row r="15" spans="1:12" ht="12" customHeight="1" x14ac:dyDescent="0.3">
      <c r="A15" s="26" t="s">
        <v>464</v>
      </c>
      <c r="B15" s="42">
        <v>0</v>
      </c>
      <c r="C15" s="43"/>
      <c r="D15" s="26"/>
      <c r="E15" s="26"/>
      <c r="F15" s="26"/>
      <c r="G15" s="26"/>
      <c r="H15" s="26"/>
      <c r="I15" s="26"/>
      <c r="J15" s="26"/>
      <c r="K15" s="26"/>
      <c r="L15" s="26"/>
    </row>
    <row r="16" spans="1:12" ht="12" customHeight="1" x14ac:dyDescent="0.3">
      <c r="A16" s="26" t="s">
        <v>465</v>
      </c>
      <c r="B16" s="26"/>
      <c r="C16" s="40">
        <f>C5-C8-C10-C13-C14</f>
        <v>0</v>
      </c>
      <c r="D16" s="26"/>
      <c r="E16" s="26"/>
      <c r="F16" s="26"/>
      <c r="G16" s="26"/>
      <c r="H16" s="26"/>
      <c r="I16" s="26"/>
      <c r="J16" s="26"/>
      <c r="K16" s="26"/>
      <c r="L16" s="26"/>
    </row>
    <row r="17" spans="1:14" ht="12" customHeight="1" x14ac:dyDescent="0.3">
      <c r="A17" s="26"/>
      <c r="B17" s="26"/>
      <c r="C17" s="26"/>
      <c r="D17" s="45"/>
      <c r="E17" s="26"/>
      <c r="F17" s="26"/>
      <c r="G17" s="26"/>
      <c r="H17" s="26"/>
      <c r="I17" s="26"/>
      <c r="J17" s="26"/>
      <c r="K17" s="26"/>
      <c r="L17" s="26"/>
    </row>
    <row r="18" spans="1:14" ht="12" customHeight="1" x14ac:dyDescent="0.3">
      <c r="A18" s="3" t="str">
        <f>"Jaar             "&amp;"(bedragen x € "&amp;IF('Invoer algemeen en balans'!$D$4="x 1.000","1.000",1)&amp;")"</f>
        <v>Jaar             (bedragen x € 1.000)</v>
      </c>
      <c r="B18" s="46">
        <f>'Invoer algemeen en balans'!E15</f>
        <v>2026</v>
      </c>
      <c r="C18" s="47">
        <f t="shared" ref="C18:K18" si="0">B18+1</f>
        <v>2027</v>
      </c>
      <c r="D18" s="47">
        <f t="shared" si="0"/>
        <v>2028</v>
      </c>
      <c r="E18" s="47">
        <f t="shared" si="0"/>
        <v>2029</v>
      </c>
      <c r="F18" s="47">
        <f t="shared" si="0"/>
        <v>2030</v>
      </c>
      <c r="G18" s="47">
        <f t="shared" si="0"/>
        <v>2031</v>
      </c>
      <c r="H18" s="47">
        <f t="shared" si="0"/>
        <v>2032</v>
      </c>
      <c r="I18" s="47">
        <f t="shared" si="0"/>
        <v>2033</v>
      </c>
      <c r="J18" s="47">
        <f t="shared" si="0"/>
        <v>2034</v>
      </c>
      <c r="K18" s="47">
        <f t="shared" si="0"/>
        <v>2035</v>
      </c>
      <c r="L18" s="26"/>
    </row>
    <row r="19" spans="1:14" ht="12" customHeight="1" x14ac:dyDescent="0.3">
      <c r="A19" s="26" t="s">
        <v>427</v>
      </c>
      <c r="B19" s="40">
        <f>'Invoer exploitatie'!E26</f>
        <v>0</v>
      </c>
      <c r="C19" s="40">
        <f>'Invoer exploitatie'!F26</f>
        <v>0</v>
      </c>
      <c r="D19" s="40">
        <f>'Invoer exploitatie'!G26</f>
        <v>0</v>
      </c>
      <c r="E19" s="40">
        <f>'Invoer exploitatie'!H26</f>
        <v>0</v>
      </c>
      <c r="F19" s="40">
        <f>'Invoer exploitatie'!I26</f>
        <v>0</v>
      </c>
      <c r="G19" s="40">
        <f>'Invoer exploitatie'!J26</f>
        <v>0</v>
      </c>
      <c r="H19" s="40">
        <f t="shared" ref="H19:K22" si="1">G19</f>
        <v>0</v>
      </c>
      <c r="I19" s="40">
        <f t="shared" si="1"/>
        <v>0</v>
      </c>
      <c r="J19" s="40">
        <f t="shared" si="1"/>
        <v>0</v>
      </c>
      <c r="K19" s="40">
        <f t="shared" si="1"/>
        <v>0</v>
      </c>
      <c r="L19" s="28"/>
      <c r="M19" s="13"/>
      <c r="N19" s="13"/>
    </row>
    <row r="20" spans="1:14" ht="12" customHeight="1" x14ac:dyDescent="0.3">
      <c r="A20" s="26" t="s">
        <v>428</v>
      </c>
      <c r="B20" s="40">
        <f>-'Invoer exploitatie'!E34</f>
        <v>0</v>
      </c>
      <c r="C20" s="40">
        <f>-'Invoer exploitatie'!F34</f>
        <v>0</v>
      </c>
      <c r="D20" s="40">
        <f>-'Invoer exploitatie'!G34</f>
        <v>0</v>
      </c>
      <c r="E20" s="40">
        <f>-'Invoer exploitatie'!H34</f>
        <v>0</v>
      </c>
      <c r="F20" s="40">
        <f>-'Invoer exploitatie'!I34</f>
        <v>0</v>
      </c>
      <c r="G20" s="40">
        <f>-'Invoer exploitatie'!J34</f>
        <v>0</v>
      </c>
      <c r="H20" s="40">
        <f t="shared" si="1"/>
        <v>0</v>
      </c>
      <c r="I20" s="40">
        <f t="shared" si="1"/>
        <v>0</v>
      </c>
      <c r="J20" s="40">
        <f t="shared" si="1"/>
        <v>0</v>
      </c>
      <c r="K20" s="40">
        <f t="shared" si="1"/>
        <v>0</v>
      </c>
      <c r="L20" s="28"/>
      <c r="M20" s="13"/>
      <c r="N20" s="13"/>
    </row>
    <row r="21" spans="1:14" ht="12" customHeight="1" x14ac:dyDescent="0.3">
      <c r="A21" s="26" t="s">
        <v>466</v>
      </c>
      <c r="B21" s="40">
        <f>-'Invoer exploitatie'!E78</f>
        <v>0</v>
      </c>
      <c r="C21" s="40">
        <f>-'Invoer exploitatie'!F78</f>
        <v>0</v>
      </c>
      <c r="D21" s="40">
        <f>-'Invoer exploitatie'!G78</f>
        <v>0</v>
      </c>
      <c r="E21" s="40">
        <f>-'Invoer exploitatie'!H78</f>
        <v>0</v>
      </c>
      <c r="F21" s="40">
        <f>-'Invoer exploitatie'!I78</f>
        <v>0</v>
      </c>
      <c r="G21" s="40">
        <f>-'Invoer exploitatie'!J78</f>
        <v>0</v>
      </c>
      <c r="H21" s="40">
        <f t="shared" si="1"/>
        <v>0</v>
      </c>
      <c r="I21" s="40">
        <f t="shared" si="1"/>
        <v>0</v>
      </c>
      <c r="J21" s="40">
        <f t="shared" si="1"/>
        <v>0</v>
      </c>
      <c r="K21" s="40">
        <f t="shared" si="1"/>
        <v>0</v>
      </c>
      <c r="L21" s="28"/>
      <c r="M21" s="13"/>
      <c r="N21" s="13"/>
    </row>
    <row r="22" spans="1:14" ht="12" customHeight="1" x14ac:dyDescent="0.3">
      <c r="A22" s="26" t="s">
        <v>277</v>
      </c>
      <c r="B22" s="40">
        <f>-'Invoer exploitatie'!E88</f>
        <v>0</v>
      </c>
      <c r="C22" s="40">
        <f>-'Invoer exploitatie'!F88</f>
        <v>0</v>
      </c>
      <c r="D22" s="40">
        <f>-'Invoer exploitatie'!G88</f>
        <v>0</v>
      </c>
      <c r="E22" s="40">
        <f>-'Invoer exploitatie'!H88</f>
        <v>0</v>
      </c>
      <c r="F22" s="40">
        <f>-'Invoer exploitatie'!I88</f>
        <v>0</v>
      </c>
      <c r="G22" s="40">
        <f>-'Invoer exploitatie'!J88</f>
        <v>0</v>
      </c>
      <c r="H22" s="38">
        <f t="shared" si="1"/>
        <v>0</v>
      </c>
      <c r="I22" s="38">
        <f t="shared" si="1"/>
        <v>0</v>
      </c>
      <c r="J22" s="38">
        <f t="shared" si="1"/>
        <v>0</v>
      </c>
      <c r="K22" s="38">
        <f t="shared" si="1"/>
        <v>0</v>
      </c>
      <c r="L22" s="28"/>
      <c r="M22" s="13"/>
      <c r="N22" s="13"/>
    </row>
    <row r="23" spans="1:14" ht="12" customHeight="1" x14ac:dyDescent="0.3">
      <c r="A23" s="2" t="s">
        <v>273</v>
      </c>
      <c r="B23" s="40">
        <f>'Vrije kasstroom'!E5</f>
        <v>0</v>
      </c>
      <c r="C23" s="40">
        <f>'Vrije kasstroom'!F5</f>
        <v>0</v>
      </c>
      <c r="D23" s="40">
        <f>'Vrije kasstroom'!G5</f>
        <v>0</v>
      </c>
      <c r="E23" s="40">
        <f>'Vrije kasstroom'!H5</f>
        <v>0</v>
      </c>
      <c r="F23" s="40">
        <f>'Vrije kasstroom'!I5</f>
        <v>0</v>
      </c>
      <c r="G23" s="40">
        <f>'Vrije kasstroom'!J5</f>
        <v>0</v>
      </c>
      <c r="H23" s="40"/>
      <c r="I23" s="40"/>
      <c r="J23" s="40"/>
      <c r="K23" s="40"/>
      <c r="L23" s="28"/>
      <c r="M23" s="13"/>
      <c r="N23" s="13"/>
    </row>
    <row r="24" spans="1:14" ht="12" customHeight="1" x14ac:dyDescent="0.3">
      <c r="A24" s="2" t="s">
        <v>467</v>
      </c>
      <c r="B24" s="40">
        <f>SUM(B19:B23)</f>
        <v>0</v>
      </c>
      <c r="C24" s="40">
        <f t="shared" ref="C24:K24" si="2">SUM(C19:C23)</f>
        <v>0</v>
      </c>
      <c r="D24" s="40">
        <f t="shared" si="2"/>
        <v>0</v>
      </c>
      <c r="E24" s="40">
        <f t="shared" si="2"/>
        <v>0</v>
      </c>
      <c r="F24" s="40">
        <f t="shared" si="2"/>
        <v>0</v>
      </c>
      <c r="G24" s="40">
        <f t="shared" si="2"/>
        <v>0</v>
      </c>
      <c r="H24" s="40">
        <f t="shared" si="2"/>
        <v>0</v>
      </c>
      <c r="I24" s="40">
        <f t="shared" si="2"/>
        <v>0</v>
      </c>
      <c r="J24" s="40">
        <f t="shared" si="2"/>
        <v>0</v>
      </c>
      <c r="K24" s="40">
        <f t="shared" si="2"/>
        <v>0</v>
      </c>
      <c r="L24" s="28"/>
      <c r="M24" s="13"/>
      <c r="N24" s="13"/>
    </row>
    <row r="25" spans="1:14" ht="12" customHeight="1" x14ac:dyDescent="0.3">
      <c r="A25" s="26" t="s">
        <v>468</v>
      </c>
      <c r="B25" s="40" t="str">
        <f>IFERROR(-'Invoer exploitatie'!E99*B24,"")</f>
        <v/>
      </c>
      <c r="C25" s="40" t="str">
        <f>IFERROR(-'Invoer exploitatie'!F99*C24,"")</f>
        <v/>
      </c>
      <c r="D25" s="40" t="str">
        <f>IFERROR(-'Invoer exploitatie'!G99*D24,"")</f>
        <v/>
      </c>
      <c r="E25" s="40" t="str">
        <f>IFERROR(-'Invoer exploitatie'!H99*E24,"")</f>
        <v/>
      </c>
      <c r="F25" s="40" t="str">
        <f>IFERROR(-'Invoer exploitatie'!I99*F24,"")</f>
        <v/>
      </c>
      <c r="G25" s="40" t="str">
        <f>IFERROR(-'Invoer exploitatie'!J99*G24,"")</f>
        <v/>
      </c>
      <c r="H25" s="40" t="str">
        <f>IFERROR(-'Invoer exploitatie'!$J$99*H24,"")</f>
        <v/>
      </c>
      <c r="I25" s="40" t="str">
        <f>IFERROR(-'Invoer exploitatie'!$J$99*I24,"")</f>
        <v/>
      </c>
      <c r="J25" s="40" t="str">
        <f>IFERROR(-'Invoer exploitatie'!$J$99*J24,"")</f>
        <v/>
      </c>
      <c r="K25" s="40" t="str">
        <f>IFERROR(-'Invoer exploitatie'!$J$99*K24,"")</f>
        <v/>
      </c>
      <c r="L25" s="28"/>
      <c r="M25" s="13"/>
      <c r="N25" s="13"/>
    </row>
    <row r="26" spans="1:14" ht="12" customHeight="1" x14ac:dyDescent="0.3">
      <c r="A26" s="2" t="s">
        <v>469</v>
      </c>
      <c r="B26" s="40">
        <f>'Invoer algemeen en balans'!E71</f>
        <v>0</v>
      </c>
      <c r="C26" s="40">
        <f>'Invoer algemeen en balans'!F71</f>
        <v>0</v>
      </c>
      <c r="D26" s="40">
        <f>'Invoer algemeen en balans'!G71</f>
        <v>0</v>
      </c>
      <c r="E26" s="40">
        <f>'Invoer algemeen en balans'!H71</f>
        <v>0</v>
      </c>
      <c r="F26" s="40">
        <f>'Invoer algemeen en balans'!I71</f>
        <v>0</v>
      </c>
      <c r="G26" s="40">
        <f>'Invoer algemeen en balans'!J71</f>
        <v>0</v>
      </c>
      <c r="H26" s="38">
        <v>0</v>
      </c>
      <c r="I26" s="38">
        <v>0</v>
      </c>
      <c r="J26" s="38">
        <v>0</v>
      </c>
      <c r="K26" s="38">
        <v>0</v>
      </c>
      <c r="L26" s="28"/>
      <c r="M26" s="13"/>
      <c r="N26" s="13"/>
    </row>
    <row r="27" spans="1:14" ht="12" customHeight="1" x14ac:dyDescent="0.3">
      <c r="A27" s="10" t="s">
        <v>470</v>
      </c>
      <c r="B27" s="49">
        <f>'Vrije kasstroom'!E10+'Vrije kasstroom'!E13</f>
        <v>0</v>
      </c>
      <c r="C27" s="49">
        <f>'Vrije kasstroom'!F10+'Vrije kasstroom'!F13</f>
        <v>0</v>
      </c>
      <c r="D27" s="49">
        <f>'Vrije kasstroom'!G10+'Vrije kasstroom'!G13</f>
        <v>0</v>
      </c>
      <c r="E27" s="49">
        <f>'Vrije kasstroom'!H10+'Vrije kasstroom'!H13</f>
        <v>0</v>
      </c>
      <c r="F27" s="49">
        <f>'Vrije kasstroom'!I10+'Vrije kasstroom'!I13</f>
        <v>0</v>
      </c>
      <c r="G27" s="49">
        <f>'Vrije kasstroom'!J10+'Vrije kasstroom'!J13</f>
        <v>0</v>
      </c>
      <c r="H27" s="50">
        <v>0</v>
      </c>
      <c r="I27" s="50">
        <v>0</v>
      </c>
      <c r="J27" s="50">
        <v>0</v>
      </c>
      <c r="K27" s="50">
        <v>0</v>
      </c>
      <c r="L27" s="28"/>
      <c r="M27" s="13"/>
      <c r="N27" s="13"/>
    </row>
    <row r="28" spans="1:14" ht="12" customHeight="1" x14ac:dyDescent="0.3">
      <c r="A28" s="26" t="s">
        <v>433</v>
      </c>
      <c r="B28" s="40">
        <f t="shared" ref="B28:K28" si="3">SUM(B24:B27)</f>
        <v>0</v>
      </c>
      <c r="C28" s="40">
        <f t="shared" si="3"/>
        <v>0</v>
      </c>
      <c r="D28" s="40">
        <f t="shared" si="3"/>
        <v>0</v>
      </c>
      <c r="E28" s="40">
        <f t="shared" si="3"/>
        <v>0</v>
      </c>
      <c r="F28" s="40">
        <f t="shared" si="3"/>
        <v>0</v>
      </c>
      <c r="G28" s="40">
        <f t="shared" si="3"/>
        <v>0</v>
      </c>
      <c r="H28" s="40">
        <f t="shared" si="3"/>
        <v>0</v>
      </c>
      <c r="I28" s="40">
        <f t="shared" si="3"/>
        <v>0</v>
      </c>
      <c r="J28" s="40">
        <f t="shared" si="3"/>
        <v>0</v>
      </c>
      <c r="K28" s="40">
        <f t="shared" si="3"/>
        <v>0</v>
      </c>
      <c r="L28" s="26"/>
    </row>
    <row r="29" spans="1:14" ht="12" customHeight="1" x14ac:dyDescent="0.3">
      <c r="A29" s="26"/>
      <c r="B29" s="43"/>
      <c r="C29" s="43"/>
      <c r="D29" s="43"/>
      <c r="E29" s="43"/>
      <c r="F29" s="43"/>
      <c r="G29" s="43"/>
      <c r="H29" s="43"/>
      <c r="I29" s="43"/>
      <c r="J29" s="43"/>
      <c r="K29" s="43"/>
      <c r="L29" s="26"/>
    </row>
    <row r="30" spans="1:14" ht="12" customHeight="1" x14ac:dyDescent="0.3">
      <c r="A30" s="26"/>
      <c r="B30" s="43"/>
      <c r="C30" s="43"/>
      <c r="D30" s="43"/>
      <c r="E30" s="43"/>
      <c r="F30" s="43"/>
      <c r="G30" s="43"/>
      <c r="H30" s="43"/>
      <c r="I30" s="43"/>
      <c r="J30" s="43"/>
      <c r="K30" s="43"/>
      <c r="L30" s="26"/>
    </row>
    <row r="31" spans="1:14" ht="12" customHeight="1" x14ac:dyDescent="0.3">
      <c r="A31" s="26" t="s">
        <v>456</v>
      </c>
      <c r="B31" s="40">
        <f>$B$7*$C$6</f>
        <v>0</v>
      </c>
      <c r="C31" s="40">
        <f>$B$7*($C$6-B32)</f>
        <v>0</v>
      </c>
      <c r="D31" s="40">
        <f>$B$7*($C$6-SUM($B$32:C32))</f>
        <v>0</v>
      </c>
      <c r="E31" s="40">
        <f>$B$7*($C$6-SUM($B$32:D32))</f>
        <v>0</v>
      </c>
      <c r="F31" s="40">
        <f>$B$7*($C$6-SUM($B$32:E32))</f>
        <v>0</v>
      </c>
      <c r="G31" s="40">
        <f>$B$7*($C$6-SUM($B$32:F32))</f>
        <v>0</v>
      </c>
      <c r="H31" s="40">
        <f>$B$7*($C$6-SUM($B$32:G32))</f>
        <v>0</v>
      </c>
      <c r="I31" s="40">
        <f>$B$7*($C$6-SUM($B$32:H32))</f>
        <v>0</v>
      </c>
      <c r="J31" s="40">
        <f>$B$7*($C$6-SUM($B$32:I32))</f>
        <v>0</v>
      </c>
      <c r="K31" s="40">
        <f>$B$7*($C$6-SUM($B$32:J32))</f>
        <v>0</v>
      </c>
      <c r="L31" s="26"/>
    </row>
    <row r="32" spans="1:14" ht="12" customHeight="1" x14ac:dyDescent="0.3">
      <c r="A32" s="26" t="s">
        <v>471</v>
      </c>
      <c r="B32" s="51">
        <v>0</v>
      </c>
      <c r="C32" s="51">
        <v>0</v>
      </c>
      <c r="D32" s="51">
        <v>0</v>
      </c>
      <c r="E32" s="51">
        <v>0</v>
      </c>
      <c r="F32" s="51">
        <v>0</v>
      </c>
      <c r="G32" s="51">
        <v>0</v>
      </c>
      <c r="H32" s="51">
        <v>0</v>
      </c>
      <c r="I32" s="51">
        <v>0</v>
      </c>
      <c r="J32" s="51">
        <v>0</v>
      </c>
      <c r="K32" s="51">
        <v>0</v>
      </c>
      <c r="L32" s="26"/>
    </row>
    <row r="33" spans="1:256" ht="12" customHeight="1" x14ac:dyDescent="0.3">
      <c r="A33" s="26" t="s">
        <v>472</v>
      </c>
      <c r="B33" s="40">
        <f>B9*C8</f>
        <v>0</v>
      </c>
      <c r="C33" s="40">
        <f t="shared" ref="C33:K33" si="4">B33</f>
        <v>0</v>
      </c>
      <c r="D33" s="40">
        <f t="shared" si="4"/>
        <v>0</v>
      </c>
      <c r="E33" s="40">
        <f t="shared" si="4"/>
        <v>0</v>
      </c>
      <c r="F33" s="40">
        <f t="shared" si="4"/>
        <v>0</v>
      </c>
      <c r="G33" s="40">
        <f t="shared" si="4"/>
        <v>0</v>
      </c>
      <c r="H33" s="40">
        <f t="shared" si="4"/>
        <v>0</v>
      </c>
      <c r="I33" s="40">
        <f t="shared" si="4"/>
        <v>0</v>
      </c>
      <c r="J33" s="40">
        <f t="shared" si="4"/>
        <v>0</v>
      </c>
      <c r="K33" s="40">
        <f t="shared" si="4"/>
        <v>0</v>
      </c>
      <c r="L33" s="26"/>
    </row>
    <row r="34" spans="1:256" ht="12" customHeight="1" x14ac:dyDescent="0.3">
      <c r="A34" s="26" t="s">
        <v>473</v>
      </c>
      <c r="B34" s="40">
        <f>C10</f>
        <v>0</v>
      </c>
      <c r="C34" s="40">
        <f>MAX(0,B34-B35)</f>
        <v>0</v>
      </c>
      <c r="D34" s="40">
        <f t="shared" ref="D34:K34" si="5">MAX(0,C34-C35)</f>
        <v>0</v>
      </c>
      <c r="E34" s="40">
        <f>MAX(0,D34-D35)</f>
        <v>0</v>
      </c>
      <c r="F34" s="40">
        <f>MAX(0,E34-E35)</f>
        <v>0</v>
      </c>
      <c r="G34" s="40">
        <f t="shared" si="5"/>
        <v>0</v>
      </c>
      <c r="H34" s="40">
        <f t="shared" si="5"/>
        <v>0</v>
      </c>
      <c r="I34" s="40">
        <f t="shared" si="5"/>
        <v>0</v>
      </c>
      <c r="J34" s="40">
        <f t="shared" si="5"/>
        <v>0</v>
      </c>
      <c r="K34" s="40">
        <f t="shared" si="5"/>
        <v>0</v>
      </c>
      <c r="L34" s="26"/>
    </row>
    <row r="35" spans="1:256" ht="12" customHeight="1" x14ac:dyDescent="0.3">
      <c r="A35" s="26" t="s">
        <v>474</v>
      </c>
      <c r="B35" s="40">
        <f>IF(B11=0,0,B34/B11)</f>
        <v>0</v>
      </c>
      <c r="C35" s="40">
        <f t="shared" ref="C35:K35" si="6">IF($B$11=0,0,MIN(C34,$B$34/$B$11))</f>
        <v>0</v>
      </c>
      <c r="D35" s="40">
        <f t="shared" si="6"/>
        <v>0</v>
      </c>
      <c r="E35" s="40">
        <f t="shared" si="6"/>
        <v>0</v>
      </c>
      <c r="F35" s="40">
        <f t="shared" si="6"/>
        <v>0</v>
      </c>
      <c r="G35" s="40">
        <f t="shared" si="6"/>
        <v>0</v>
      </c>
      <c r="H35" s="40">
        <f t="shared" si="6"/>
        <v>0</v>
      </c>
      <c r="I35" s="40">
        <f t="shared" si="6"/>
        <v>0</v>
      </c>
      <c r="J35" s="40">
        <f t="shared" si="6"/>
        <v>0</v>
      </c>
      <c r="K35" s="40">
        <f t="shared" si="6"/>
        <v>0</v>
      </c>
      <c r="L35" s="26"/>
    </row>
    <row r="36" spans="1:256" ht="12" customHeight="1" x14ac:dyDescent="0.3">
      <c r="A36" s="2" t="s">
        <v>475</v>
      </c>
      <c r="B36" s="40">
        <f t="shared" ref="B36:K36" si="7">B34*$B$12</f>
        <v>0</v>
      </c>
      <c r="C36" s="40">
        <f t="shared" si="7"/>
        <v>0</v>
      </c>
      <c r="D36" s="40">
        <f t="shared" si="7"/>
        <v>0</v>
      </c>
      <c r="E36" s="40">
        <f t="shared" si="7"/>
        <v>0</v>
      </c>
      <c r="F36" s="40">
        <f t="shared" si="7"/>
        <v>0</v>
      </c>
      <c r="G36" s="40">
        <f t="shared" si="7"/>
        <v>0</v>
      </c>
      <c r="H36" s="40">
        <f t="shared" si="7"/>
        <v>0</v>
      </c>
      <c r="I36" s="40">
        <f t="shared" si="7"/>
        <v>0</v>
      </c>
      <c r="J36" s="40">
        <f t="shared" si="7"/>
        <v>0</v>
      </c>
      <c r="K36" s="40">
        <f t="shared" si="7"/>
        <v>0</v>
      </c>
      <c r="L36" s="26"/>
    </row>
    <row r="37" spans="1:256" ht="12" customHeight="1" x14ac:dyDescent="0.3">
      <c r="A37" s="2" t="s">
        <v>476</v>
      </c>
      <c r="B37" s="40">
        <f>B31+B33+B36</f>
        <v>0</v>
      </c>
      <c r="C37" s="40">
        <f t="shared" ref="C37:K37" si="8">C31+C33+C36</f>
        <v>0</v>
      </c>
      <c r="D37" s="40">
        <f t="shared" si="8"/>
        <v>0</v>
      </c>
      <c r="E37" s="40">
        <f t="shared" si="8"/>
        <v>0</v>
      </c>
      <c r="F37" s="40">
        <f t="shared" si="8"/>
        <v>0</v>
      </c>
      <c r="G37" s="40">
        <f t="shared" si="8"/>
        <v>0</v>
      </c>
      <c r="H37" s="40">
        <f t="shared" si="8"/>
        <v>0</v>
      </c>
      <c r="I37" s="40">
        <f t="shared" si="8"/>
        <v>0</v>
      </c>
      <c r="J37" s="40">
        <f t="shared" si="8"/>
        <v>0</v>
      </c>
      <c r="K37" s="40">
        <f t="shared" si="8"/>
        <v>0</v>
      </c>
      <c r="L37" s="26"/>
    </row>
    <row r="38" spans="1:256" ht="12" customHeight="1" x14ac:dyDescent="0.3">
      <c r="A38" s="26" t="s">
        <v>449</v>
      </c>
      <c r="B38" s="40" t="str">
        <f>IFERROR(B37*'Invoer exploitatie'!E99,"")</f>
        <v/>
      </c>
      <c r="C38" s="40" t="str">
        <f>IFERROR(C37*'Invoer exploitatie'!F99,"")</f>
        <v/>
      </c>
      <c r="D38" s="40" t="str">
        <f>IFERROR(D37*'Invoer exploitatie'!G99,"")</f>
        <v/>
      </c>
      <c r="E38" s="40" t="str">
        <f>IFERROR(E37*'Invoer exploitatie'!H99,"")</f>
        <v/>
      </c>
      <c r="F38" s="40" t="str">
        <f>IFERROR(F37*'Invoer exploitatie'!I99,"")</f>
        <v/>
      </c>
      <c r="G38" s="40" t="str">
        <f>IFERROR(G37*'Invoer exploitatie'!J99,"")</f>
        <v/>
      </c>
      <c r="H38" s="40" t="str">
        <f>IFERROR(H37*'Invoer exploitatie'!$J$99,"")</f>
        <v/>
      </c>
      <c r="I38" s="40" t="str">
        <f>IFERROR(I37*'Invoer exploitatie'!$J$99,"")</f>
        <v/>
      </c>
      <c r="J38" s="40" t="str">
        <f>IFERROR(J37*'Invoer exploitatie'!$J$99,"")</f>
        <v/>
      </c>
      <c r="K38" s="40" t="str">
        <f>IFERROR(K37*'Invoer exploitatie'!$J$99,"")</f>
        <v/>
      </c>
      <c r="L38" s="40"/>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row>
    <row r="39" spans="1:256" ht="12" customHeight="1" x14ac:dyDescent="0.3">
      <c r="A39" s="26" t="s">
        <v>477</v>
      </c>
      <c r="B39" s="40" t="str">
        <f>IFERROR(B37-B38,"")</f>
        <v/>
      </c>
      <c r="C39" s="40" t="str">
        <f t="shared" ref="C39:G39" si="9">IFERROR(C37-C38,"")</f>
        <v/>
      </c>
      <c r="D39" s="40" t="str">
        <f t="shared" si="9"/>
        <v/>
      </c>
      <c r="E39" s="40" t="str">
        <f t="shared" si="9"/>
        <v/>
      </c>
      <c r="F39" s="40" t="str">
        <f t="shared" si="9"/>
        <v/>
      </c>
      <c r="G39" s="40" t="str">
        <f t="shared" si="9"/>
        <v/>
      </c>
      <c r="H39" s="40" t="str">
        <f t="shared" ref="H39" si="10">IFERROR(H37-H38,"")</f>
        <v/>
      </c>
      <c r="I39" s="40" t="str">
        <f t="shared" ref="I39" si="11">IFERROR(I37-I38,"")</f>
        <v/>
      </c>
      <c r="J39" s="40" t="str">
        <f t="shared" ref="J39" si="12">IFERROR(J37-J38,"")</f>
        <v/>
      </c>
      <c r="K39" s="40" t="str">
        <f t="shared" ref="K39" si="13">IFERROR(K37-K38,"")</f>
        <v/>
      </c>
      <c r="L39" s="26"/>
    </row>
    <row r="40" spans="1:256" ht="12" customHeight="1" x14ac:dyDescent="0.3">
      <c r="A40" s="2" t="s">
        <v>478</v>
      </c>
      <c r="B40" s="40">
        <f>B32+B35</f>
        <v>0</v>
      </c>
      <c r="C40" s="40">
        <f t="shared" ref="C40:K40" si="14">C32+C35</f>
        <v>0</v>
      </c>
      <c r="D40" s="40">
        <f t="shared" si="14"/>
        <v>0</v>
      </c>
      <c r="E40" s="40">
        <f t="shared" si="14"/>
        <v>0</v>
      </c>
      <c r="F40" s="40">
        <f t="shared" si="14"/>
        <v>0</v>
      </c>
      <c r="G40" s="40">
        <f t="shared" si="14"/>
        <v>0</v>
      </c>
      <c r="H40" s="40">
        <f t="shared" si="14"/>
        <v>0</v>
      </c>
      <c r="I40" s="40">
        <f t="shared" si="14"/>
        <v>0</v>
      </c>
      <c r="J40" s="40">
        <f t="shared" si="14"/>
        <v>0</v>
      </c>
      <c r="K40" s="40">
        <f t="shared" si="14"/>
        <v>0</v>
      </c>
      <c r="L40" s="26"/>
    </row>
    <row r="41" spans="1:256" ht="12" customHeight="1" x14ac:dyDescent="0.3">
      <c r="A41" s="2" t="s">
        <v>479</v>
      </c>
      <c r="B41" s="40" t="str">
        <f>IFERROR(+B40+B39,"")</f>
        <v/>
      </c>
      <c r="C41" s="40" t="str">
        <f t="shared" ref="C41:K41" si="15">IFERROR(+C40+C39,"")</f>
        <v/>
      </c>
      <c r="D41" s="40" t="str">
        <f t="shared" si="15"/>
        <v/>
      </c>
      <c r="E41" s="40" t="str">
        <f t="shared" si="15"/>
        <v/>
      </c>
      <c r="F41" s="40" t="str">
        <f t="shared" si="15"/>
        <v/>
      </c>
      <c r="G41" s="40" t="str">
        <f t="shared" si="15"/>
        <v/>
      </c>
      <c r="H41" s="40" t="str">
        <f t="shared" si="15"/>
        <v/>
      </c>
      <c r="I41" s="40" t="str">
        <f t="shared" si="15"/>
        <v/>
      </c>
      <c r="J41" s="40" t="str">
        <f t="shared" si="15"/>
        <v/>
      </c>
      <c r="K41" s="40" t="str">
        <f t="shared" si="15"/>
        <v/>
      </c>
      <c r="L41" s="26"/>
    </row>
    <row r="42" spans="1:256" s="15" customFormat="1" ht="12" customHeight="1" x14ac:dyDescent="0.3">
      <c r="A42" s="9" t="s">
        <v>480</v>
      </c>
      <c r="B42" s="52" t="str">
        <f>IFERROR(+B28-B41,"")</f>
        <v/>
      </c>
      <c r="C42" s="52" t="str">
        <f t="shared" ref="C42:K42" si="16">IFERROR(+C28-C41,"")</f>
        <v/>
      </c>
      <c r="D42" s="52" t="str">
        <f t="shared" si="16"/>
        <v/>
      </c>
      <c r="E42" s="52" t="str">
        <f t="shared" si="16"/>
        <v/>
      </c>
      <c r="F42" s="52" t="str">
        <f t="shared" si="16"/>
        <v/>
      </c>
      <c r="G42" s="52" t="str">
        <f t="shared" si="16"/>
        <v/>
      </c>
      <c r="H42" s="52" t="str">
        <f t="shared" si="16"/>
        <v/>
      </c>
      <c r="I42" s="52" t="str">
        <f t="shared" si="16"/>
        <v/>
      </c>
      <c r="J42" s="52" t="str">
        <f t="shared" si="16"/>
        <v/>
      </c>
      <c r="K42" s="52" t="str">
        <f t="shared" si="16"/>
        <v/>
      </c>
      <c r="L42" s="9"/>
    </row>
    <row r="43" spans="1:256" ht="12" customHeight="1" x14ac:dyDescent="0.3">
      <c r="A43" s="2"/>
      <c r="B43" s="40"/>
      <c r="C43" s="40"/>
      <c r="D43" s="40"/>
      <c r="E43" s="40"/>
      <c r="F43" s="40"/>
      <c r="G43" s="40"/>
      <c r="H43" s="40"/>
      <c r="I43" s="40"/>
      <c r="J43" s="40"/>
      <c r="K43" s="40"/>
      <c r="L43" s="26"/>
    </row>
    <row r="44" spans="1:256" ht="12" customHeight="1" x14ac:dyDescent="0.3">
      <c r="A44" s="26" t="s">
        <v>481</v>
      </c>
      <c r="B44" s="51">
        <v>0</v>
      </c>
      <c r="C44" s="51">
        <v>0</v>
      </c>
      <c r="D44" s="51">
        <v>0</v>
      </c>
      <c r="E44" s="51">
        <v>0</v>
      </c>
      <c r="F44" s="51">
        <v>0</v>
      </c>
      <c r="G44" s="51">
        <v>0</v>
      </c>
      <c r="H44" s="51">
        <v>0</v>
      </c>
      <c r="I44" s="51">
        <v>0</v>
      </c>
      <c r="J44" s="51">
        <v>0</v>
      </c>
      <c r="K44" s="51">
        <v>0</v>
      </c>
      <c r="L44" s="26"/>
    </row>
    <row r="45" spans="1:256" ht="12" customHeight="1" x14ac:dyDescent="0.3">
      <c r="A45" s="2" t="s">
        <v>482</v>
      </c>
      <c r="B45" s="40" t="str">
        <f>IFERROR(B28-B32-B35-B39-B44,"")</f>
        <v/>
      </c>
      <c r="C45" s="40" t="str">
        <f t="shared" ref="C45:K45" si="17">IFERROR(C28-C32-C35-C39-C44,"")</f>
        <v/>
      </c>
      <c r="D45" s="40" t="str">
        <f t="shared" si="17"/>
        <v/>
      </c>
      <c r="E45" s="40" t="str">
        <f t="shared" si="17"/>
        <v/>
      </c>
      <c r="F45" s="40" t="str">
        <f t="shared" si="17"/>
        <v/>
      </c>
      <c r="G45" s="40" t="str">
        <f t="shared" si="17"/>
        <v/>
      </c>
      <c r="H45" s="40" t="str">
        <f t="shared" si="17"/>
        <v/>
      </c>
      <c r="I45" s="40" t="str">
        <f t="shared" si="17"/>
        <v/>
      </c>
      <c r="J45" s="40" t="str">
        <f t="shared" si="17"/>
        <v/>
      </c>
      <c r="K45" s="40" t="str">
        <f t="shared" si="17"/>
        <v/>
      </c>
      <c r="L45" s="26"/>
    </row>
    <row r="46" spans="1:256" ht="12" customHeight="1" x14ac:dyDescent="0.3">
      <c r="A46" s="2" t="s">
        <v>483</v>
      </c>
      <c r="B46" s="40">
        <f>C14-B47</f>
        <v>0</v>
      </c>
      <c r="C46" s="40">
        <f>MAX(0,B46-C47)</f>
        <v>0</v>
      </c>
      <c r="D46" s="40">
        <f t="shared" ref="D46:K46" si="18">MAX(0,C46-D47)</f>
        <v>0</v>
      </c>
      <c r="E46" s="40">
        <f t="shared" si="18"/>
        <v>0</v>
      </c>
      <c r="F46" s="40">
        <f t="shared" si="18"/>
        <v>0</v>
      </c>
      <c r="G46" s="40">
        <f t="shared" si="18"/>
        <v>0</v>
      </c>
      <c r="H46" s="40">
        <f t="shared" si="18"/>
        <v>0</v>
      </c>
      <c r="I46" s="40">
        <f t="shared" si="18"/>
        <v>0</v>
      </c>
      <c r="J46" s="40">
        <f t="shared" si="18"/>
        <v>0</v>
      </c>
      <c r="K46" s="40">
        <f t="shared" si="18"/>
        <v>0</v>
      </c>
      <c r="L46" s="26"/>
    </row>
    <row r="47" spans="1:256" ht="12" customHeight="1" x14ac:dyDescent="0.3">
      <c r="A47" s="2" t="s">
        <v>484</v>
      </c>
      <c r="B47" s="38">
        <v>0</v>
      </c>
      <c r="C47" s="38">
        <v>0</v>
      </c>
      <c r="D47" s="38">
        <v>0</v>
      </c>
      <c r="E47" s="38">
        <v>0</v>
      </c>
      <c r="F47" s="38">
        <v>0</v>
      </c>
      <c r="G47" s="38">
        <v>0</v>
      </c>
      <c r="H47" s="38">
        <v>0</v>
      </c>
      <c r="I47" s="38">
        <v>0</v>
      </c>
      <c r="J47" s="38">
        <v>0</v>
      </c>
      <c r="K47" s="38">
        <v>0</v>
      </c>
      <c r="L47" s="26"/>
    </row>
    <row r="48" spans="1:256" ht="12" customHeight="1" x14ac:dyDescent="0.3">
      <c r="A48" s="2" t="s">
        <v>464</v>
      </c>
      <c r="B48" s="40">
        <f>$B$15*C14</f>
        <v>0</v>
      </c>
      <c r="C48" s="40">
        <f>$B$15*B46</f>
        <v>0</v>
      </c>
      <c r="D48" s="40">
        <f t="shared" ref="D48:K48" si="19">$B$15*C46</f>
        <v>0</v>
      </c>
      <c r="E48" s="40">
        <f t="shared" si="19"/>
        <v>0</v>
      </c>
      <c r="F48" s="40">
        <f t="shared" si="19"/>
        <v>0</v>
      </c>
      <c r="G48" s="40">
        <f t="shared" si="19"/>
        <v>0</v>
      </c>
      <c r="H48" s="40">
        <f t="shared" si="19"/>
        <v>0</v>
      </c>
      <c r="I48" s="40">
        <f t="shared" si="19"/>
        <v>0</v>
      </c>
      <c r="J48" s="40">
        <f t="shared" si="19"/>
        <v>0</v>
      </c>
      <c r="K48" s="40">
        <f t="shared" si="19"/>
        <v>0</v>
      </c>
      <c r="L48" s="40"/>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row>
    <row r="49" spans="1:256" ht="12" customHeight="1" x14ac:dyDescent="0.3">
      <c r="A49" s="2" t="s">
        <v>485</v>
      </c>
      <c r="B49" s="40" t="str">
        <f>IFERROR(+B48*'Invoer exploitatie'!E99,"")</f>
        <v/>
      </c>
      <c r="C49" s="40" t="str">
        <f>IFERROR(+C48*'Invoer exploitatie'!F99,"")</f>
        <v/>
      </c>
      <c r="D49" s="40" t="str">
        <f>IFERROR(+D48*'Invoer exploitatie'!G99,"")</f>
        <v/>
      </c>
      <c r="E49" s="40" t="str">
        <f>IFERROR(+E48*'Invoer exploitatie'!H99,"")</f>
        <v/>
      </c>
      <c r="F49" s="40" t="str">
        <f>IFERROR(+F48*'Invoer exploitatie'!I99,"")</f>
        <v/>
      </c>
      <c r="G49" s="40" t="str">
        <f>IFERROR(+G48*'Invoer exploitatie'!J99,"")</f>
        <v/>
      </c>
      <c r="H49" s="40" t="str">
        <f>IFERROR(+H48*'Invoer exploitatie'!$J$99,"")</f>
        <v/>
      </c>
      <c r="I49" s="40" t="str">
        <f>IFERROR(+I48*'Invoer exploitatie'!$J$99,"")</f>
        <v/>
      </c>
      <c r="J49" s="40" t="str">
        <f>IFERROR(+J48*'Invoer exploitatie'!$J$99,"")</f>
        <v/>
      </c>
      <c r="K49" s="40" t="str">
        <f>IFERROR(+K48*'Invoer exploitatie'!$J$99,"")</f>
        <v/>
      </c>
      <c r="L49" s="40"/>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row>
    <row r="50" spans="1:256" s="15" customFormat="1" ht="12" customHeight="1" x14ac:dyDescent="0.3">
      <c r="A50" s="9" t="s">
        <v>486</v>
      </c>
      <c r="B50" s="52" t="str">
        <f>IFERROR(B45-B47-B48+B49,"")</f>
        <v/>
      </c>
      <c r="C50" s="52" t="str">
        <f t="shared" ref="C50:K50" si="20">IFERROR(C45-C47-C48+C49,"")</f>
        <v/>
      </c>
      <c r="D50" s="52" t="str">
        <f t="shared" si="20"/>
        <v/>
      </c>
      <c r="E50" s="52" t="str">
        <f t="shared" si="20"/>
        <v/>
      </c>
      <c r="F50" s="52" t="str">
        <f t="shared" si="20"/>
        <v/>
      </c>
      <c r="G50" s="52" t="str">
        <f t="shared" si="20"/>
        <v/>
      </c>
      <c r="H50" s="52" t="str">
        <f>IFERROR(H45-H47-H48+H49,"")</f>
        <v/>
      </c>
      <c r="I50" s="52" t="str">
        <f t="shared" si="20"/>
        <v/>
      </c>
      <c r="J50" s="52" t="str">
        <f t="shared" si="20"/>
        <v/>
      </c>
      <c r="K50" s="52" t="str">
        <f t="shared" si="20"/>
        <v/>
      </c>
      <c r="L50" s="9"/>
    </row>
    <row r="51" spans="1:256" ht="12" customHeight="1" x14ac:dyDescent="0.3">
      <c r="A51" s="26"/>
      <c r="B51" s="43"/>
      <c r="C51" s="43"/>
      <c r="D51" s="43"/>
      <c r="E51" s="43"/>
      <c r="F51" s="43"/>
      <c r="G51" s="43"/>
      <c r="H51" s="43"/>
      <c r="I51" s="43"/>
      <c r="J51" s="43"/>
      <c r="K51" s="43"/>
      <c r="L51" s="26"/>
    </row>
    <row r="52" spans="1:256" ht="12" customHeight="1" x14ac:dyDescent="0.3">
      <c r="A52" s="26" t="s">
        <v>487</v>
      </c>
      <c r="B52" s="40" t="str">
        <f>IFERROR(B50+B40+B47,"")</f>
        <v/>
      </c>
      <c r="C52" s="40" t="str">
        <f>IFERROR(B52+C50+C40+C47,"")</f>
        <v/>
      </c>
      <c r="D52" s="40" t="str">
        <f t="shared" ref="D52:K52" si="21">IFERROR(C52+D50+D40+D47,"")</f>
        <v/>
      </c>
      <c r="E52" s="40" t="str">
        <f t="shared" si="21"/>
        <v/>
      </c>
      <c r="F52" s="40" t="str">
        <f t="shared" si="21"/>
        <v/>
      </c>
      <c r="G52" s="40" t="str">
        <f t="shared" si="21"/>
        <v/>
      </c>
      <c r="H52" s="40" t="str">
        <f t="shared" si="21"/>
        <v/>
      </c>
      <c r="I52" s="40" t="str">
        <f t="shared" si="21"/>
        <v/>
      </c>
      <c r="J52" s="40" t="str">
        <f t="shared" si="21"/>
        <v/>
      </c>
      <c r="K52" s="40" t="str">
        <f t="shared" si="21"/>
        <v/>
      </c>
      <c r="L52" s="26"/>
    </row>
    <row r="53" spans="1:256" ht="12" customHeight="1" x14ac:dyDescent="0.3">
      <c r="A53" s="26" t="s">
        <v>488</v>
      </c>
      <c r="B53" s="53" t="str">
        <f>IF(B52&gt;$C$3,"x"," ")</f>
        <v xml:space="preserve"> </v>
      </c>
      <c r="C53" s="53" t="str">
        <f>IF(C52&gt;$C$3,"x"," ")</f>
        <v xml:space="preserve"> </v>
      </c>
      <c r="D53" s="53" t="str">
        <f t="shared" ref="D53:K53" si="22">IF(D52&gt;$C$3,"x"," ")</f>
        <v xml:space="preserve"> </v>
      </c>
      <c r="E53" s="53" t="str">
        <f t="shared" si="22"/>
        <v xml:space="preserve"> </v>
      </c>
      <c r="F53" s="53" t="str">
        <f t="shared" si="22"/>
        <v xml:space="preserve"> </v>
      </c>
      <c r="G53" s="53" t="str">
        <f t="shared" si="22"/>
        <v xml:space="preserve"> </v>
      </c>
      <c r="H53" s="53" t="str">
        <f t="shared" si="22"/>
        <v xml:space="preserve"> </v>
      </c>
      <c r="I53" s="53" t="str">
        <f t="shared" si="22"/>
        <v xml:space="preserve"> </v>
      </c>
      <c r="J53" s="53" t="str">
        <f t="shared" si="22"/>
        <v xml:space="preserve"> </v>
      </c>
      <c r="K53" s="53" t="str">
        <f t="shared" si="22"/>
        <v xml:space="preserve"> </v>
      </c>
      <c r="L53" s="26"/>
    </row>
    <row r="54" spans="1:256" ht="12" customHeight="1" x14ac:dyDescent="0.3">
      <c r="A54" s="26"/>
      <c r="B54" s="53"/>
      <c r="C54" s="53"/>
      <c r="D54" s="53"/>
      <c r="E54" s="53"/>
      <c r="F54" s="53"/>
      <c r="G54" s="53"/>
      <c r="H54" s="53"/>
      <c r="I54" s="53"/>
      <c r="J54" s="53"/>
      <c r="K54" s="53"/>
      <c r="L54" s="26"/>
    </row>
    <row r="55" spans="1:256" ht="12" customHeight="1" x14ac:dyDescent="0.3">
      <c r="A55" s="45" t="s">
        <v>489</v>
      </c>
      <c r="B55" s="53"/>
      <c r="C55" s="53"/>
      <c r="D55" s="53"/>
      <c r="E55" s="53"/>
      <c r="F55" s="53"/>
      <c r="G55" s="53"/>
      <c r="H55" s="53"/>
      <c r="I55" s="53"/>
      <c r="J55" s="53"/>
      <c r="K55" s="53"/>
      <c r="L55" s="26"/>
    </row>
    <row r="56" spans="1:256" ht="12" customHeight="1" x14ac:dyDescent="0.3">
      <c r="A56" s="26" t="s">
        <v>490</v>
      </c>
      <c r="B56" s="54">
        <f>+B48+B37</f>
        <v>0</v>
      </c>
      <c r="C56" s="54">
        <f t="shared" ref="C56:K56" si="23">+C48+C37</f>
        <v>0</v>
      </c>
      <c r="D56" s="54">
        <f t="shared" si="23"/>
        <v>0</v>
      </c>
      <c r="E56" s="54">
        <f t="shared" si="23"/>
        <v>0</v>
      </c>
      <c r="F56" s="54">
        <f>+F48+F37</f>
        <v>0</v>
      </c>
      <c r="G56" s="54">
        <f t="shared" si="23"/>
        <v>0</v>
      </c>
      <c r="H56" s="54">
        <f t="shared" si="23"/>
        <v>0</v>
      </c>
      <c r="I56" s="54">
        <f t="shared" si="23"/>
        <v>0</v>
      </c>
      <c r="J56" s="54">
        <f t="shared" si="23"/>
        <v>0</v>
      </c>
      <c r="K56" s="54">
        <f t="shared" si="23"/>
        <v>0</v>
      </c>
      <c r="L56" s="26"/>
    </row>
    <row r="57" spans="1:256" ht="12" customHeight="1" x14ac:dyDescent="0.3">
      <c r="A57" s="26" t="s">
        <v>449</v>
      </c>
      <c r="B57" s="54" t="str">
        <f>IFERROR('Invoer exploitatie'!E99*B56,"")</f>
        <v/>
      </c>
      <c r="C57" s="54" t="str">
        <f>IFERROR('Invoer exploitatie'!F99*C56,"")</f>
        <v/>
      </c>
      <c r="D57" s="54" t="str">
        <f>IFERROR('Invoer exploitatie'!G99*D56,"")</f>
        <v/>
      </c>
      <c r="E57" s="54" t="str">
        <f>IFERROR('Invoer exploitatie'!H99*E56,"")</f>
        <v/>
      </c>
      <c r="F57" s="54" t="str">
        <f>IFERROR('Invoer exploitatie'!I99*F56,"")</f>
        <v/>
      </c>
      <c r="G57" s="54" t="str">
        <f>IFERROR('Invoer exploitatie'!J99*G56,"")</f>
        <v/>
      </c>
      <c r="H57" s="54" t="str">
        <f>IFERROR('Invoer exploitatie'!$J$99*H56,"")</f>
        <v/>
      </c>
      <c r="I57" s="54" t="str">
        <f>IFERROR('Invoer exploitatie'!$J$99*I56,"")</f>
        <v/>
      </c>
      <c r="J57" s="54" t="str">
        <f>IFERROR('Invoer exploitatie'!$J$99*J56,"")</f>
        <v/>
      </c>
      <c r="K57" s="54" t="str">
        <f>IFERROR('Invoer exploitatie'!$J$99*K56,"")</f>
        <v/>
      </c>
      <c r="L57" s="26"/>
    </row>
    <row r="58" spans="1:256" ht="12" customHeight="1" x14ac:dyDescent="0.3">
      <c r="A58" s="2" t="s">
        <v>491</v>
      </c>
      <c r="B58" s="55" t="str">
        <f>IFERROR(+B56-B57,"")</f>
        <v/>
      </c>
      <c r="C58" s="55" t="str">
        <f t="shared" ref="C58:K58" si="24">IFERROR(+C56-C57,"")</f>
        <v/>
      </c>
      <c r="D58" s="55" t="str">
        <f t="shared" si="24"/>
        <v/>
      </c>
      <c r="E58" s="55" t="str">
        <f t="shared" si="24"/>
        <v/>
      </c>
      <c r="F58" s="55" t="str">
        <f t="shared" si="24"/>
        <v/>
      </c>
      <c r="G58" s="55" t="str">
        <f t="shared" si="24"/>
        <v/>
      </c>
      <c r="H58" s="55" t="str">
        <f t="shared" si="24"/>
        <v/>
      </c>
      <c r="I58" s="55" t="str">
        <f>IFERROR(+I56-I57,"")</f>
        <v/>
      </c>
      <c r="J58" s="55" t="str">
        <f t="shared" si="24"/>
        <v/>
      </c>
      <c r="K58" s="55" t="str">
        <f t="shared" si="24"/>
        <v/>
      </c>
      <c r="L58" s="26"/>
    </row>
    <row r="59" spans="1:256" ht="12" customHeight="1" x14ac:dyDescent="0.3">
      <c r="A59" s="26"/>
      <c r="B59" s="53"/>
      <c r="C59" s="53"/>
      <c r="D59" s="53"/>
      <c r="E59" s="53"/>
      <c r="F59" s="53"/>
      <c r="G59" s="53"/>
      <c r="H59" s="53"/>
      <c r="I59" s="53"/>
      <c r="J59" s="53"/>
      <c r="K59" s="53"/>
      <c r="L59" s="26"/>
    </row>
    <row r="60" spans="1:256" ht="12" customHeight="1" x14ac:dyDescent="0.3">
      <c r="A60" s="26"/>
      <c r="B60" s="43"/>
      <c r="C60" s="43"/>
      <c r="D60" s="43"/>
      <c r="E60" s="43"/>
      <c r="F60" s="43"/>
      <c r="G60" s="43"/>
      <c r="H60" s="43"/>
      <c r="I60" s="43"/>
      <c r="J60" s="43"/>
      <c r="K60" s="43"/>
      <c r="L60" s="26"/>
    </row>
    <row r="61" spans="1:256" ht="12" customHeight="1" x14ac:dyDescent="0.3">
      <c r="A61" s="3" t="s">
        <v>492</v>
      </c>
      <c r="B61" s="47"/>
      <c r="C61" s="47"/>
      <c r="D61" s="47"/>
      <c r="E61" s="47"/>
      <c r="F61" s="47"/>
      <c r="G61" s="47"/>
      <c r="H61" s="47"/>
      <c r="I61" s="47"/>
      <c r="J61" s="47"/>
      <c r="K61" s="47"/>
      <c r="L61" s="26"/>
    </row>
    <row r="62" spans="1:256" ht="12" customHeight="1" x14ac:dyDescent="0.3">
      <c r="A62" s="26"/>
      <c r="B62" s="43"/>
      <c r="C62" s="43"/>
      <c r="D62" s="43"/>
      <c r="E62" s="43"/>
      <c r="F62" s="43"/>
      <c r="G62" s="43"/>
      <c r="H62" s="43"/>
      <c r="I62" s="43"/>
      <c r="J62" s="43"/>
      <c r="K62" s="43"/>
      <c r="L62" s="26"/>
    </row>
    <row r="63" spans="1:256" ht="12" customHeight="1" x14ac:dyDescent="0.3">
      <c r="A63" s="2" t="s">
        <v>493</v>
      </c>
      <c r="B63" s="56" t="e">
        <f>(C6+C8+C10)/(B24-B22)</f>
        <v>#DIV/0!</v>
      </c>
      <c r="C63" s="56" t="e">
        <f t="shared" ref="C63:K63" si="25">($C$8+C34+$C$6)/(C24-C22)</f>
        <v>#DIV/0!</v>
      </c>
      <c r="D63" s="56" t="e">
        <f t="shared" si="25"/>
        <v>#DIV/0!</v>
      </c>
      <c r="E63" s="56" t="e">
        <f t="shared" si="25"/>
        <v>#DIV/0!</v>
      </c>
      <c r="F63" s="56" t="e">
        <f t="shared" si="25"/>
        <v>#DIV/0!</v>
      </c>
      <c r="G63" s="56" t="e">
        <f t="shared" si="25"/>
        <v>#DIV/0!</v>
      </c>
      <c r="H63" s="56" t="e">
        <f t="shared" si="25"/>
        <v>#DIV/0!</v>
      </c>
      <c r="I63" s="56" t="e">
        <f t="shared" si="25"/>
        <v>#DIV/0!</v>
      </c>
      <c r="J63" s="56" t="e">
        <f t="shared" si="25"/>
        <v>#DIV/0!</v>
      </c>
      <c r="K63" s="56" t="e">
        <f t="shared" si="25"/>
        <v>#DIV/0!</v>
      </c>
      <c r="L63" s="26"/>
    </row>
    <row r="64" spans="1:256" ht="12" customHeight="1" x14ac:dyDescent="0.3">
      <c r="A64" s="26" t="s">
        <v>494</v>
      </c>
      <c r="B64" s="40">
        <f>C6+C8+C10</f>
        <v>0</v>
      </c>
      <c r="C64" s="40">
        <f>B64-C40</f>
        <v>0</v>
      </c>
      <c r="D64" s="40">
        <f t="shared" ref="D64:K64" si="26">C64-D40</f>
        <v>0</v>
      </c>
      <c r="E64" s="40">
        <f t="shared" si="26"/>
        <v>0</v>
      </c>
      <c r="F64" s="40">
        <f t="shared" si="26"/>
        <v>0</v>
      </c>
      <c r="G64" s="40">
        <f t="shared" si="26"/>
        <v>0</v>
      </c>
      <c r="H64" s="40">
        <f t="shared" si="26"/>
        <v>0</v>
      </c>
      <c r="I64" s="40">
        <f t="shared" si="26"/>
        <v>0</v>
      </c>
      <c r="J64" s="40">
        <f t="shared" si="26"/>
        <v>0</v>
      </c>
      <c r="K64" s="40">
        <f t="shared" si="26"/>
        <v>0</v>
      </c>
      <c r="L64" s="26"/>
    </row>
    <row r="65" spans="1:12" ht="12" customHeight="1" x14ac:dyDescent="0.3">
      <c r="A65" s="26" t="s">
        <v>495</v>
      </c>
      <c r="B65" s="40">
        <f t="shared" ref="B65:K65" si="27">B28-B22-B27</f>
        <v>0</v>
      </c>
      <c r="C65" s="40">
        <f t="shared" si="27"/>
        <v>0</v>
      </c>
      <c r="D65" s="40">
        <f t="shared" si="27"/>
        <v>0</v>
      </c>
      <c r="E65" s="40">
        <f t="shared" si="27"/>
        <v>0</v>
      </c>
      <c r="F65" s="40">
        <f t="shared" si="27"/>
        <v>0</v>
      </c>
      <c r="G65" s="40">
        <f t="shared" si="27"/>
        <v>0</v>
      </c>
      <c r="H65" s="40">
        <f t="shared" si="27"/>
        <v>0</v>
      </c>
      <c r="I65" s="40">
        <f t="shared" si="27"/>
        <v>0</v>
      </c>
      <c r="J65" s="40">
        <f t="shared" si="27"/>
        <v>0</v>
      </c>
      <c r="K65" s="40">
        <f t="shared" si="27"/>
        <v>0</v>
      </c>
      <c r="L65" s="26"/>
    </row>
    <row r="66" spans="1:12" ht="12" customHeight="1" x14ac:dyDescent="0.3">
      <c r="A66" s="26"/>
      <c r="B66" s="43"/>
      <c r="C66" s="43"/>
      <c r="D66" s="43"/>
      <c r="E66" s="43"/>
      <c r="F66" s="43"/>
      <c r="G66" s="43"/>
      <c r="H66" s="43"/>
      <c r="I66" s="43"/>
      <c r="J66" s="43"/>
      <c r="K66" s="43"/>
      <c r="L66" s="26"/>
    </row>
    <row r="67" spans="1:12" ht="12" customHeight="1" x14ac:dyDescent="0.3">
      <c r="A67" s="2" t="s">
        <v>496</v>
      </c>
      <c r="B67" s="56">
        <f>IF(B37=0,0,B28/B37)</f>
        <v>0</v>
      </c>
      <c r="C67" s="56">
        <f t="shared" ref="C67:K67" si="28">IF(C37=0,0,C28/C37)</f>
        <v>0</v>
      </c>
      <c r="D67" s="56">
        <f t="shared" si="28"/>
        <v>0</v>
      </c>
      <c r="E67" s="56">
        <f t="shared" si="28"/>
        <v>0</v>
      </c>
      <c r="F67" s="56">
        <f t="shared" si="28"/>
        <v>0</v>
      </c>
      <c r="G67" s="56">
        <f t="shared" si="28"/>
        <v>0</v>
      </c>
      <c r="H67" s="56">
        <f t="shared" si="28"/>
        <v>0</v>
      </c>
      <c r="I67" s="56">
        <f t="shared" si="28"/>
        <v>0</v>
      </c>
      <c r="J67" s="56">
        <f t="shared" si="28"/>
        <v>0</v>
      </c>
      <c r="K67" s="56">
        <f t="shared" si="28"/>
        <v>0</v>
      </c>
      <c r="L67" s="26"/>
    </row>
    <row r="68" spans="1:12" ht="12" customHeight="1" x14ac:dyDescent="0.3">
      <c r="A68" s="26" t="s">
        <v>497</v>
      </c>
      <c r="B68" s="40">
        <f>B28</f>
        <v>0</v>
      </c>
      <c r="C68" s="40">
        <f t="shared" ref="C68:K68" si="29">C28</f>
        <v>0</v>
      </c>
      <c r="D68" s="40">
        <f t="shared" si="29"/>
        <v>0</v>
      </c>
      <c r="E68" s="40">
        <f t="shared" si="29"/>
        <v>0</v>
      </c>
      <c r="F68" s="40">
        <f t="shared" si="29"/>
        <v>0</v>
      </c>
      <c r="G68" s="40">
        <f t="shared" si="29"/>
        <v>0</v>
      </c>
      <c r="H68" s="40">
        <f t="shared" si="29"/>
        <v>0</v>
      </c>
      <c r="I68" s="40">
        <f t="shared" si="29"/>
        <v>0</v>
      </c>
      <c r="J68" s="40">
        <f t="shared" si="29"/>
        <v>0</v>
      </c>
      <c r="K68" s="40">
        <f t="shared" si="29"/>
        <v>0</v>
      </c>
      <c r="L68" s="26"/>
    </row>
    <row r="69" spans="1:12" ht="12" customHeight="1" x14ac:dyDescent="0.3">
      <c r="A69" s="26" t="s">
        <v>448</v>
      </c>
      <c r="B69" s="40">
        <f>B37</f>
        <v>0</v>
      </c>
      <c r="C69" s="40">
        <f t="shared" ref="C69:K69" si="30">C37</f>
        <v>0</v>
      </c>
      <c r="D69" s="40">
        <f t="shared" si="30"/>
        <v>0</v>
      </c>
      <c r="E69" s="40">
        <f t="shared" si="30"/>
        <v>0</v>
      </c>
      <c r="F69" s="40">
        <f t="shared" si="30"/>
        <v>0</v>
      </c>
      <c r="G69" s="40">
        <f t="shared" si="30"/>
        <v>0</v>
      </c>
      <c r="H69" s="40">
        <f t="shared" si="30"/>
        <v>0</v>
      </c>
      <c r="I69" s="40">
        <f t="shared" si="30"/>
        <v>0</v>
      </c>
      <c r="J69" s="40">
        <f t="shared" si="30"/>
        <v>0</v>
      </c>
      <c r="K69" s="40">
        <f t="shared" si="30"/>
        <v>0</v>
      </c>
      <c r="L69" s="26"/>
    </row>
    <row r="70" spans="1:12" ht="12" customHeight="1" x14ac:dyDescent="0.3">
      <c r="A70" s="26"/>
      <c r="B70" s="43"/>
      <c r="C70" s="43"/>
      <c r="D70" s="43"/>
      <c r="E70" s="43"/>
      <c r="F70" s="43"/>
      <c r="G70" s="43"/>
      <c r="H70" s="43"/>
      <c r="I70" s="43"/>
      <c r="J70" s="43"/>
      <c r="K70" s="43"/>
      <c r="L70" s="26"/>
    </row>
    <row r="71" spans="1:12" ht="12" customHeight="1" x14ac:dyDescent="0.3">
      <c r="A71" s="2" t="s">
        <v>498</v>
      </c>
      <c r="B71" s="56" t="e">
        <f>IF(B39=0,0,B28/(B32+B35+B37))</f>
        <v>#DIV/0!</v>
      </c>
      <c r="C71" s="56" t="e">
        <f>IF(C39=0,0,C28/(C32+C35+C37))</f>
        <v>#DIV/0!</v>
      </c>
      <c r="D71" s="56" t="e">
        <f t="shared" ref="D71:K71" si="31">IF(D39=0,0,D28/(D32+D35+D37))</f>
        <v>#DIV/0!</v>
      </c>
      <c r="E71" s="56" t="e">
        <f t="shared" si="31"/>
        <v>#DIV/0!</v>
      </c>
      <c r="F71" s="56" t="e">
        <f t="shared" si="31"/>
        <v>#DIV/0!</v>
      </c>
      <c r="G71" s="56" t="e">
        <f t="shared" si="31"/>
        <v>#DIV/0!</v>
      </c>
      <c r="H71" s="56" t="e">
        <f t="shared" si="31"/>
        <v>#DIV/0!</v>
      </c>
      <c r="I71" s="56" t="e">
        <f t="shared" si="31"/>
        <v>#DIV/0!</v>
      </c>
      <c r="J71" s="56" t="e">
        <f t="shared" si="31"/>
        <v>#DIV/0!</v>
      </c>
      <c r="K71" s="56" t="e">
        <f t="shared" si="31"/>
        <v>#DIV/0!</v>
      </c>
      <c r="L71" s="26"/>
    </row>
    <row r="72" spans="1:12" ht="12" customHeight="1" x14ac:dyDescent="0.3">
      <c r="A72" s="26" t="s">
        <v>499</v>
      </c>
      <c r="B72" s="40">
        <f>B28</f>
        <v>0</v>
      </c>
      <c r="C72" s="40">
        <f t="shared" ref="C72:K72" si="32">C28</f>
        <v>0</v>
      </c>
      <c r="D72" s="40">
        <f t="shared" si="32"/>
        <v>0</v>
      </c>
      <c r="E72" s="40">
        <f t="shared" si="32"/>
        <v>0</v>
      </c>
      <c r="F72" s="40">
        <f t="shared" si="32"/>
        <v>0</v>
      </c>
      <c r="G72" s="40">
        <f t="shared" si="32"/>
        <v>0</v>
      </c>
      <c r="H72" s="40">
        <f t="shared" si="32"/>
        <v>0</v>
      </c>
      <c r="I72" s="40">
        <f t="shared" si="32"/>
        <v>0</v>
      </c>
      <c r="J72" s="40">
        <f t="shared" si="32"/>
        <v>0</v>
      </c>
      <c r="K72" s="40">
        <f t="shared" si="32"/>
        <v>0</v>
      </c>
      <c r="L72" s="26"/>
    </row>
    <row r="73" spans="1:12" ht="12" customHeight="1" x14ac:dyDescent="0.3">
      <c r="A73" s="26" t="s">
        <v>500</v>
      </c>
      <c r="B73" s="40">
        <f>B37+B40</f>
        <v>0</v>
      </c>
      <c r="C73" s="40">
        <f t="shared" ref="C73:K73" si="33">C37+C40</f>
        <v>0</v>
      </c>
      <c r="D73" s="40">
        <f t="shared" si="33"/>
        <v>0</v>
      </c>
      <c r="E73" s="40">
        <f t="shared" si="33"/>
        <v>0</v>
      </c>
      <c r="F73" s="40">
        <f t="shared" si="33"/>
        <v>0</v>
      </c>
      <c r="G73" s="40">
        <f t="shared" si="33"/>
        <v>0</v>
      </c>
      <c r="H73" s="40">
        <f t="shared" si="33"/>
        <v>0</v>
      </c>
      <c r="I73" s="40">
        <f t="shared" si="33"/>
        <v>0</v>
      </c>
      <c r="J73" s="40">
        <f t="shared" si="33"/>
        <v>0</v>
      </c>
      <c r="K73" s="40">
        <f t="shared" si="33"/>
        <v>0</v>
      </c>
      <c r="L73" s="26"/>
    </row>
    <row r="74" spans="1:12" ht="12" customHeight="1" x14ac:dyDescent="0.3">
      <c r="A74" s="26"/>
      <c r="B74" s="26"/>
      <c r="C74" s="26"/>
      <c r="D74" s="26"/>
      <c r="E74" s="26"/>
      <c r="F74" s="26"/>
      <c r="G74" s="26"/>
      <c r="H74" s="26"/>
      <c r="I74" s="26"/>
      <c r="J74" s="26"/>
      <c r="K74" s="26"/>
      <c r="L74" s="26"/>
    </row>
    <row r="75" spans="1:12" ht="12" customHeight="1" x14ac:dyDescent="0.3">
      <c r="A75" s="26"/>
      <c r="B75" s="26"/>
      <c r="C75" s="26"/>
      <c r="D75" s="26"/>
      <c r="E75" s="26"/>
      <c r="F75" s="26"/>
      <c r="G75" s="26"/>
      <c r="H75" s="26"/>
      <c r="I75" s="26"/>
      <c r="J75" s="26"/>
      <c r="K75" s="26"/>
      <c r="L75" s="26"/>
    </row>
    <row r="76" spans="1:12" ht="12" customHeight="1" x14ac:dyDescent="0.3">
      <c r="A76" s="26"/>
      <c r="B76" s="26"/>
      <c r="C76" s="26"/>
      <c r="D76" s="26"/>
      <c r="E76" s="26"/>
      <c r="F76" s="26"/>
      <c r="G76" s="26"/>
      <c r="H76" s="26"/>
      <c r="I76" s="26"/>
      <c r="J76" s="26"/>
      <c r="K76" s="26"/>
      <c r="L76" s="26"/>
    </row>
    <row r="77" spans="1:12" ht="12" customHeight="1" x14ac:dyDescent="0.3">
      <c r="A77" s="26"/>
      <c r="B77" s="26"/>
      <c r="C77" s="26"/>
      <c r="D77" s="26"/>
      <c r="E77" s="26"/>
      <c r="F77" s="26"/>
      <c r="G77" s="26"/>
      <c r="H77" s="26"/>
      <c r="I77" s="26"/>
      <c r="J77" s="26"/>
      <c r="K77" s="26"/>
      <c r="L77" s="26"/>
    </row>
    <row r="78" spans="1:12" ht="12" customHeight="1" x14ac:dyDescent="0.3">
      <c r="A78" s="26"/>
      <c r="B78" s="26"/>
      <c r="C78" s="26"/>
      <c r="D78" s="26"/>
      <c r="E78" s="26"/>
      <c r="F78" s="26"/>
      <c r="G78" s="26"/>
      <c r="H78" s="26"/>
      <c r="I78" s="26"/>
      <c r="J78" s="26"/>
      <c r="K78" s="26"/>
      <c r="L78" s="26"/>
    </row>
    <row r="79" spans="1:12" ht="12" customHeight="1" x14ac:dyDescent="0.3">
      <c r="A79" s="26"/>
      <c r="B79" s="26"/>
      <c r="C79" s="26"/>
      <c r="D79" s="26"/>
      <c r="E79" s="26"/>
      <c r="F79" s="26"/>
      <c r="G79" s="26"/>
      <c r="H79" s="26"/>
      <c r="I79" s="26"/>
      <c r="J79" s="26"/>
      <c r="K79" s="26"/>
      <c r="L79" s="26"/>
    </row>
    <row r="80" spans="1:12" ht="12" customHeight="1" x14ac:dyDescent="0.3">
      <c r="A80" s="26"/>
      <c r="B80" s="26"/>
      <c r="C80" s="26"/>
      <c r="D80" s="26"/>
      <c r="E80" s="26"/>
      <c r="F80" s="26"/>
      <c r="G80" s="26"/>
      <c r="H80" s="26"/>
      <c r="I80" s="26"/>
      <c r="J80" s="26"/>
      <c r="K80" s="26"/>
      <c r="L80" s="26"/>
    </row>
    <row r="81" spans="1:12" ht="12" customHeight="1" x14ac:dyDescent="0.3">
      <c r="A81" s="26"/>
      <c r="B81" s="26"/>
      <c r="C81" s="26"/>
      <c r="D81" s="26"/>
      <c r="E81" s="26"/>
      <c r="F81" s="26"/>
      <c r="G81" s="26"/>
      <c r="H81" s="26"/>
      <c r="I81" s="26"/>
      <c r="J81" s="26"/>
      <c r="K81" s="26"/>
      <c r="L81" s="26"/>
    </row>
    <row r="82" spans="1:12" ht="12" customHeight="1" x14ac:dyDescent="0.3">
      <c r="A82" s="26"/>
      <c r="B82" s="26"/>
      <c r="C82" s="26"/>
      <c r="D82" s="26"/>
      <c r="E82" s="26"/>
      <c r="F82" s="26"/>
      <c r="G82" s="26"/>
      <c r="H82" s="26"/>
      <c r="I82" s="26"/>
      <c r="J82" s="26"/>
      <c r="K82" s="26"/>
      <c r="L82" s="26"/>
    </row>
    <row r="83" spans="1:12" ht="12" customHeight="1" x14ac:dyDescent="0.3">
      <c r="A83" s="26"/>
      <c r="B83" s="26"/>
      <c r="C83" s="26"/>
      <c r="D83" s="26"/>
      <c r="E83" s="26"/>
      <c r="F83" s="26"/>
      <c r="G83" s="26"/>
      <c r="H83" s="26"/>
      <c r="I83" s="26"/>
      <c r="J83" s="26"/>
      <c r="K83" s="26"/>
      <c r="L83" s="26"/>
    </row>
    <row r="84" spans="1:12" ht="12" customHeight="1" x14ac:dyDescent="0.3">
      <c r="A84" s="26"/>
      <c r="B84" s="26"/>
      <c r="C84" s="26"/>
      <c r="D84" s="26"/>
      <c r="E84" s="26"/>
      <c r="F84" s="26"/>
      <c r="G84" s="26"/>
      <c r="H84" s="26"/>
      <c r="I84" s="26"/>
      <c r="J84" s="26"/>
      <c r="K84" s="26"/>
      <c r="L84" s="26"/>
    </row>
    <row r="85" spans="1:12" ht="12" customHeight="1" x14ac:dyDescent="0.3">
      <c r="A85" s="26"/>
      <c r="B85" s="26"/>
      <c r="C85" s="26"/>
      <c r="D85" s="26"/>
      <c r="E85" s="26"/>
      <c r="F85" s="26"/>
      <c r="G85" s="26"/>
      <c r="H85" s="26"/>
      <c r="I85" s="26"/>
      <c r="J85" s="26"/>
      <c r="K85" s="26"/>
      <c r="L85" s="26"/>
    </row>
    <row r="86" spans="1:12" ht="12" customHeight="1" x14ac:dyDescent="0.3">
      <c r="A86" s="26"/>
      <c r="B86" s="26"/>
      <c r="C86" s="26"/>
      <c r="D86" s="26"/>
      <c r="E86" s="26"/>
      <c r="F86" s="26"/>
      <c r="G86" s="26"/>
      <c r="H86" s="26"/>
      <c r="I86" s="26"/>
      <c r="J86" s="26"/>
      <c r="K86" s="26"/>
      <c r="L86" s="26"/>
    </row>
    <row r="87" spans="1:12" ht="12" customHeight="1" x14ac:dyDescent="0.3">
      <c r="A87" s="26"/>
      <c r="B87" s="26"/>
      <c r="C87" s="26"/>
      <c r="D87" s="26"/>
      <c r="E87" s="26"/>
      <c r="F87" s="26"/>
      <c r="G87" s="26"/>
      <c r="H87" s="26"/>
      <c r="I87" s="26"/>
      <c r="J87" s="26"/>
      <c r="K87" s="26"/>
      <c r="L87" s="26"/>
    </row>
    <row r="88" spans="1:12" ht="12" customHeight="1" x14ac:dyDescent="0.3">
      <c r="A88" s="26"/>
      <c r="B88" s="26"/>
      <c r="C88" s="26"/>
      <c r="D88" s="26"/>
      <c r="E88" s="26"/>
      <c r="F88" s="26"/>
      <c r="G88" s="26"/>
      <c r="H88" s="26"/>
      <c r="I88" s="26"/>
      <c r="J88" s="26"/>
      <c r="K88" s="26"/>
      <c r="L88" s="26"/>
    </row>
    <row r="89" spans="1:12" ht="12" customHeight="1" x14ac:dyDescent="0.3"/>
    <row r="90" spans="1:12" ht="12" customHeight="1" x14ac:dyDescent="0.3"/>
    <row r="91" spans="1:12" ht="12" customHeight="1" x14ac:dyDescent="0.3"/>
    <row r="92" spans="1:12" ht="12" customHeight="1" x14ac:dyDescent="0.3"/>
    <row r="93" spans="1:12" ht="12" customHeight="1" x14ac:dyDescent="0.3"/>
    <row r="94" spans="1:12" ht="12" customHeight="1" x14ac:dyDescent="0.3"/>
    <row r="95" spans="1:12" ht="12" customHeight="1" x14ac:dyDescent="0.3"/>
    <row r="96" spans="1:12"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0.199999999999999" customHeight="1" x14ac:dyDescent="0.3"/>
    <row r="113" ht="10.199999999999999" customHeight="1" x14ac:dyDescent="0.3"/>
    <row r="114" ht="10.199999999999999" customHeight="1" x14ac:dyDescent="0.3"/>
    <row r="115" ht="10.199999999999999" customHeight="1" x14ac:dyDescent="0.3"/>
    <row r="116" x14ac:dyDescent="0.3"/>
    <row r="117" x14ac:dyDescent="0.3"/>
    <row r="118" x14ac:dyDescent="0.3"/>
  </sheetData>
  <sheetProtection sheet="1" objects="1" scenarios="1"/>
  <pageMargins left="0.70866141732283472" right="0.70866141732283472" top="0.74803149606299213" bottom="0.74803149606299213" header="0.31496062992125984" footer="0.31496062992125984"/>
  <pageSetup paperSize="9" scale="88" orientation="landscape" r:id="rId1"/>
  <rowBreaks count="1" manualBreakCount="1">
    <brk id="43" max="10" man="1"/>
  </rowBreaks>
  <customProperties>
    <customPr name="OrphanNamesChecked" r:id="rId2"/>
  </customProperties>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G37"/>
  <sheetViews>
    <sheetView showGridLines="0" workbookViewId="0">
      <selection activeCell="B7" sqref="B7"/>
    </sheetView>
  </sheetViews>
  <sheetFormatPr defaultColWidth="0" defaultRowHeight="11.6" zeroHeight="1" x14ac:dyDescent="0.3"/>
  <cols>
    <col min="1" max="1" width="42.3828125" style="12" customWidth="1"/>
    <col min="2" max="2" width="11.69140625" style="12" customWidth="1"/>
    <col min="3" max="3" width="12.15234375" style="12" customWidth="1"/>
    <col min="4" max="4" width="10" style="12" bestFit="1" customWidth="1"/>
    <col min="5" max="5" width="13" style="12" customWidth="1"/>
    <col min="6" max="6" width="15.3046875" style="12" customWidth="1"/>
    <col min="7" max="7" width="2.3046875" style="12" customWidth="1"/>
    <col min="8" max="16384" width="0" style="12" hidden="1"/>
  </cols>
  <sheetData>
    <row r="1" spans="1:7" ht="12.45" x14ac:dyDescent="0.3">
      <c r="A1" s="19" t="s">
        <v>501</v>
      </c>
      <c r="B1" s="20"/>
      <c r="C1" s="20"/>
      <c r="D1" s="20"/>
      <c r="E1" s="20"/>
      <c r="F1" s="20"/>
      <c r="G1" s="20"/>
    </row>
    <row r="2" spans="1:7" s="26" customFormat="1" ht="12" customHeight="1" x14ac:dyDescent="0.3">
      <c r="A2" s="34" t="str">
        <f>"(bedragen x € "&amp;IF('Invoer algemeen en balans'!$D$4="x 1.000","1.000",1)&amp;")"</f>
        <v>(bedragen x € 1.000)</v>
      </c>
    </row>
    <row r="3" spans="1:7" s="26" customFormat="1" ht="12" customHeight="1" x14ac:dyDescent="0.25">
      <c r="A3" s="26" t="s">
        <v>325</v>
      </c>
      <c r="B3" s="30">
        <v>0.25</v>
      </c>
    </row>
    <row r="4" spans="1:7" s="26" customFormat="1" ht="12" customHeight="1" x14ac:dyDescent="0.25">
      <c r="A4" s="26" t="s">
        <v>502</v>
      </c>
      <c r="B4" s="30">
        <v>0.5</v>
      </c>
    </row>
    <row r="5" spans="1:7" s="26" customFormat="1" ht="12" customHeight="1" x14ac:dyDescent="0.25">
      <c r="A5" s="26" t="s">
        <v>503</v>
      </c>
      <c r="B5" s="30">
        <v>1</v>
      </c>
    </row>
    <row r="6" spans="1:7" s="26" customFormat="1" ht="12" customHeight="1" x14ac:dyDescent="0.3">
      <c r="A6" s="31"/>
      <c r="B6" s="31"/>
      <c r="C6" s="31" t="s">
        <v>504</v>
      </c>
      <c r="D6" s="32" t="s">
        <v>505</v>
      </c>
      <c r="E6" s="31" t="s">
        <v>506</v>
      </c>
      <c r="F6" s="34" t="s">
        <v>507</v>
      </c>
    </row>
    <row r="7" spans="1:7" s="26" customFormat="1" ht="12" customHeight="1" x14ac:dyDescent="0.3">
      <c r="A7" s="48" t="s">
        <v>395</v>
      </c>
      <c r="B7" s="7"/>
      <c r="C7" s="31"/>
      <c r="D7" s="32"/>
      <c r="E7" s="31"/>
      <c r="F7" s="34"/>
    </row>
    <row r="8" spans="1:7" s="26" customFormat="1" ht="12" customHeight="1" x14ac:dyDescent="0.25">
      <c r="A8" s="26" t="s">
        <v>508</v>
      </c>
      <c r="B8" s="33"/>
    </row>
    <row r="9" spans="1:7" s="26" customFormat="1" ht="12" customHeight="1" x14ac:dyDescent="0.25">
      <c r="A9" s="26" t="s">
        <v>509</v>
      </c>
      <c r="B9" s="33"/>
    </row>
    <row r="10" spans="1:7" s="26" customFormat="1" ht="12" customHeight="1" x14ac:dyDescent="0.25">
      <c r="A10" s="26" t="s">
        <v>510</v>
      </c>
      <c r="B10" s="33"/>
      <c r="C10" s="27"/>
      <c r="D10" s="110" t="str">
        <f>IF(B7="Keu Referentie",KeuReferentie,IF(B7="Build-Up",KeuBuildUp,""))</f>
        <v/>
      </c>
      <c r="E10" s="28" t="str">
        <f>IFERROR(-PV(D10,C10,B4*B10*$B$3/C10),"")</f>
        <v/>
      </c>
    </row>
    <row r="11" spans="1:7" s="26" customFormat="1" ht="12" customHeight="1" x14ac:dyDescent="0.25">
      <c r="A11" s="26" t="s">
        <v>511</v>
      </c>
      <c r="B11" s="33"/>
      <c r="C11" s="27"/>
      <c r="D11" s="100" t="str">
        <f>+D10</f>
        <v/>
      </c>
      <c r="E11" s="28" t="str">
        <f>IFERROR(-PV(D11,C11,B5*B11*$B$3/C11),"")</f>
        <v/>
      </c>
    </row>
    <row r="12" spans="1:7" s="26" customFormat="1" ht="12" customHeight="1" x14ac:dyDescent="0.25">
      <c r="A12" s="26" t="s">
        <v>512</v>
      </c>
      <c r="B12" s="28" t="str">
        <f>IFERROR(E10+E11,"")</f>
        <v/>
      </c>
      <c r="D12" s="100"/>
      <c r="E12" s="28"/>
    </row>
    <row r="13" spans="1:7" s="26" customFormat="1" ht="12" customHeight="1" x14ac:dyDescent="0.25">
      <c r="A13" s="26" t="s">
        <v>513</v>
      </c>
      <c r="B13" s="28">
        <f>B8-B9-B10-B11</f>
        <v>0</v>
      </c>
      <c r="C13" s="27"/>
      <c r="D13" s="100" t="str">
        <f>+D11</f>
        <v/>
      </c>
      <c r="E13" s="28" t="str">
        <f>IFERROR(+(B13*(1/C13)*B3*F13)/(1-(1/C13)*B3*F13),"")</f>
        <v/>
      </c>
      <c r="F13" s="26" t="str">
        <f>IFERROR(+(1-(1/(1+D10)^C13))/D10,"")</f>
        <v/>
      </c>
    </row>
    <row r="14" spans="1:7" s="26" customFormat="1" ht="12" customHeight="1" x14ac:dyDescent="0.25">
      <c r="A14" s="26" t="s">
        <v>514</v>
      </c>
      <c r="B14" s="28" t="str">
        <f>IFERROR(B13/(1-E13/B13),"")</f>
        <v/>
      </c>
    </row>
    <row r="15" spans="1:7" s="26" customFormat="1" ht="12" customHeight="1" x14ac:dyDescent="0.25">
      <c r="A15" s="26" t="s">
        <v>515</v>
      </c>
      <c r="B15" s="28" t="str">
        <f>IFERROR((E13/B13)*B14,"")</f>
        <v/>
      </c>
      <c r="E15" s="109"/>
    </row>
    <row r="16" spans="1:7" s="26" customFormat="1" ht="12" customHeight="1" x14ac:dyDescent="0.25">
      <c r="B16" s="28"/>
    </row>
    <row r="17" spans="1:3" s="26" customFormat="1" ht="12" customHeight="1" x14ac:dyDescent="0.25">
      <c r="A17" s="26" t="s">
        <v>516</v>
      </c>
      <c r="B17" s="28" t="str">
        <f>B14</f>
        <v/>
      </c>
    </row>
    <row r="18" spans="1:3" s="26" customFormat="1" ht="12" customHeight="1" x14ac:dyDescent="0.25">
      <c r="A18" s="26" t="s">
        <v>517</v>
      </c>
      <c r="B18" s="28">
        <f>B9</f>
        <v>0</v>
      </c>
    </row>
    <row r="19" spans="1:3" s="26" customFormat="1" ht="12" customHeight="1" x14ac:dyDescent="0.25">
      <c r="A19" s="26" t="s">
        <v>518</v>
      </c>
      <c r="B19" s="28">
        <f>B10</f>
        <v>0</v>
      </c>
    </row>
    <row r="20" spans="1:3" s="26" customFormat="1" ht="12" customHeight="1" x14ac:dyDescent="0.25">
      <c r="A20" s="26" t="s">
        <v>511</v>
      </c>
      <c r="B20" s="28">
        <f>B11</f>
        <v>0</v>
      </c>
    </row>
    <row r="21" spans="1:3" s="26" customFormat="1" ht="12" customHeight="1" x14ac:dyDescent="0.25">
      <c r="A21" s="26" t="s">
        <v>512</v>
      </c>
      <c r="B21" s="29" t="str">
        <f>B12</f>
        <v/>
      </c>
    </row>
    <row r="22" spans="1:3" s="26" customFormat="1" ht="12" customHeight="1" x14ac:dyDescent="0.25">
      <c r="A22" s="26" t="s">
        <v>519</v>
      </c>
      <c r="B22" s="28">
        <f>SUM(B17:B21)</f>
        <v>0</v>
      </c>
    </row>
    <row r="23" spans="1:3" s="26" customFormat="1" ht="12" customHeight="1" x14ac:dyDescent="0.25"/>
    <row r="24" spans="1:3" s="26" customFormat="1" ht="12" customHeight="1" x14ac:dyDescent="0.3">
      <c r="A24" s="34" t="s">
        <v>520</v>
      </c>
    </row>
    <row r="25" spans="1:3" s="26" customFormat="1" ht="12" customHeight="1" x14ac:dyDescent="0.25">
      <c r="A25" s="26" t="s">
        <v>521</v>
      </c>
      <c r="B25" s="28">
        <f>B22</f>
        <v>0</v>
      </c>
    </row>
    <row r="26" spans="1:3" s="26" customFormat="1" ht="12" customHeight="1" x14ac:dyDescent="0.25">
      <c r="A26" s="26" t="s">
        <v>522</v>
      </c>
      <c r="B26" s="28" t="str">
        <f>E10</f>
        <v/>
      </c>
      <c r="C26" s="35" t="str">
        <f>IF(B10=0,"",E10/B10)</f>
        <v/>
      </c>
    </row>
    <row r="27" spans="1:3" s="26" customFormat="1" ht="12" customHeight="1" x14ac:dyDescent="0.25">
      <c r="A27" s="26" t="s">
        <v>523</v>
      </c>
      <c r="B27" s="28" t="str">
        <f>E11</f>
        <v/>
      </c>
      <c r="C27" s="35" t="str">
        <f>IF(B11=0,"",E11/B11)</f>
        <v/>
      </c>
    </row>
    <row r="28" spans="1:3" s="26" customFormat="1" ht="12" customHeight="1" x14ac:dyDescent="0.25">
      <c r="A28" s="26" t="s">
        <v>524</v>
      </c>
      <c r="B28" s="29" t="str">
        <f>B15</f>
        <v/>
      </c>
      <c r="C28" s="35" t="str">
        <f>IFERROR(IF(B17=0,"",B28/B17),"")</f>
        <v/>
      </c>
    </row>
    <row r="29" spans="1:3" s="26" customFormat="1" ht="12" customHeight="1" x14ac:dyDescent="0.25">
      <c r="A29" s="26" t="s">
        <v>525</v>
      </c>
      <c r="B29" s="28" t="str">
        <f>IFERROR(B25-B26-B27-B28,"")</f>
        <v/>
      </c>
    </row>
    <row r="30" spans="1:3" s="26" customFormat="1" ht="12" customHeight="1" x14ac:dyDescent="0.25"/>
    <row r="31" spans="1:3" s="26" customFormat="1" ht="12" customHeight="1" x14ac:dyDescent="0.25"/>
    <row r="32" spans="1:3" ht="12" customHeight="1" x14ac:dyDescent="0.3"/>
    <row r="33" ht="12" customHeight="1" x14ac:dyDescent="0.3"/>
    <row r="34" ht="12" customHeight="1" x14ac:dyDescent="0.3"/>
    <row r="35" ht="12" customHeight="1" x14ac:dyDescent="0.3"/>
    <row r="36" ht="12" customHeight="1" x14ac:dyDescent="0.3"/>
    <row r="37" ht="12" customHeight="1" x14ac:dyDescent="0.3"/>
  </sheetData>
  <sheetProtection sheet="1" selectLockedCells="1"/>
  <dataValidations count="1">
    <dataValidation type="list" allowBlank="1" showInputMessage="1" showErrorMessage="1" sqref="B7" xr:uid="{E079C472-7AC6-412A-8163-63096753433F}">
      <formula1>"Keu Referentie, Build-up"</formula1>
    </dataValidation>
  </dataValidations>
  <pageMargins left="0.7" right="0.7" top="0.75" bottom="0.75" header="0.3" footer="0.3"/>
  <pageSetup paperSize="9" orientation="landscape" r:id="rId1"/>
  <customProperties>
    <customPr name="OrphanNamesChecked" r:id="rId2"/>
  </customProperties>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dimension ref="A1:I23"/>
  <sheetViews>
    <sheetView showGridLines="0" workbookViewId="0">
      <selection activeCell="B4" sqref="B4"/>
    </sheetView>
  </sheetViews>
  <sheetFormatPr defaultColWidth="0" defaultRowHeight="14.15" zeroHeight="1" x14ac:dyDescent="0.35"/>
  <cols>
    <col min="1" max="1" width="35.84375" style="16" customWidth="1"/>
    <col min="2" max="2" width="33.3828125" style="16" customWidth="1"/>
    <col min="3" max="3" width="1.53515625" style="16" customWidth="1"/>
    <col min="4" max="16384" width="9.15234375" style="16" hidden="1"/>
  </cols>
  <sheetData>
    <row r="1" spans="1:3" s="22" customFormat="1" ht="16.3" x14ac:dyDescent="0.4">
      <c r="A1" s="19" t="s">
        <v>526</v>
      </c>
      <c r="B1" s="21"/>
      <c r="C1" s="21"/>
    </row>
    <row r="2" spans="1:3" x14ac:dyDescent="0.35">
      <c r="A2" s="34" t="str">
        <f>"(bedragen x € "&amp;IF('Invoer algemeen en balans'!$D$4="x 1.000","1.000",1)&amp;")"</f>
        <v>(bedragen x € 1.000)</v>
      </c>
      <c r="B2" s="26"/>
      <c r="C2" s="26"/>
    </row>
    <row r="3" spans="1:3" s="24" customFormat="1" ht="12.45" x14ac:dyDescent="0.3">
      <c r="A3" s="26" t="s">
        <v>527</v>
      </c>
      <c r="B3" s="27">
        <v>15</v>
      </c>
      <c r="C3" s="26"/>
    </row>
    <row r="4" spans="1:3" s="24" customFormat="1" ht="12.45" x14ac:dyDescent="0.3">
      <c r="A4" s="48" t="s">
        <v>395</v>
      </c>
      <c r="B4" s="7"/>
      <c r="C4" s="26"/>
    </row>
    <row r="5" spans="1:3" x14ac:dyDescent="0.35">
      <c r="A5" s="26" t="s">
        <v>528</v>
      </c>
      <c r="B5" s="28">
        <f>APV!H18</f>
        <v>0</v>
      </c>
      <c r="C5" s="26"/>
    </row>
    <row r="6" spans="1:3" x14ac:dyDescent="0.35">
      <c r="A6" s="26"/>
      <c r="B6" s="28"/>
      <c r="C6" s="26"/>
    </row>
    <row r="7" spans="1:3" x14ac:dyDescent="0.35">
      <c r="A7" s="26" t="s">
        <v>529</v>
      </c>
      <c r="B7" s="28" t="e">
        <f>APV!H20+APV!H25</f>
        <v>#VALUE!</v>
      </c>
      <c r="C7" s="26"/>
    </row>
    <row r="8" spans="1:3" x14ac:dyDescent="0.35">
      <c r="A8" s="26" t="str">
        <f>"Contante waarde jaar 7 tot en met jaar "&amp;B3</f>
        <v>Contante waarde jaar 7 tot en met jaar 15</v>
      </c>
      <c r="B8" s="29" t="str">
        <f>IFERROR(B7-B9,"")</f>
        <v/>
      </c>
      <c r="C8" s="26"/>
    </row>
    <row r="9" spans="1:3" x14ac:dyDescent="0.35">
      <c r="A9" s="26" t="s">
        <v>530</v>
      </c>
      <c r="B9" s="28" t="str">
        <f>IFERROR((B5*(1+'Invoer algemeen en balans'!inflatie)^(B3-6))/(IF(B4="Keu Referentie",WACCReferentieRest,IF(B4="Build-Up",WACCBuildUpRest,""))-'Invoer algemeen en balans'!inflatie)/(1+IF(B4="Keu Referentie",WACCReferentieRest,IF(B4="Build-Up",WACCBuildUpRest,"")))^B3,"")</f>
        <v/>
      </c>
      <c r="C9" s="26"/>
    </row>
    <row r="10" spans="1:3" x14ac:dyDescent="0.35">
      <c r="A10" s="26"/>
      <c r="B10" s="26"/>
      <c r="C10" s="26"/>
    </row>
    <row r="11" spans="1:3" x14ac:dyDescent="0.35"/>
    <row r="12" spans="1:3" x14ac:dyDescent="0.35"/>
    <row r="17" spans="2:9" x14ac:dyDescent="0.35"/>
    <row r="21" spans="2:9" hidden="1" x14ac:dyDescent="0.35">
      <c r="B21" s="23"/>
      <c r="C21" s="23"/>
      <c r="D21" s="23"/>
      <c r="E21" s="23"/>
      <c r="F21" s="23"/>
      <c r="G21" s="23"/>
      <c r="H21" s="23"/>
      <c r="I21" s="23"/>
    </row>
    <row r="23" spans="2:9" hidden="1" x14ac:dyDescent="0.35">
      <c r="B23" s="23"/>
    </row>
  </sheetData>
  <sheetProtection sheet="1" selectLockedCells="1"/>
  <dataValidations count="1">
    <dataValidation type="list" allowBlank="1" showInputMessage="1" showErrorMessage="1" sqref="B4" xr:uid="{382AFBAC-4593-483C-80F0-B408A5C8FC75}">
      <formula1>"Keu Referentie, Build-up"</formula1>
    </dataValidation>
  </dataValidations>
  <pageMargins left="0.7" right="0.7" top="0.75" bottom="0.75" header="0.3" footer="0.3"/>
  <pageSetup paperSize="9" orientation="portrait"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IV113"/>
  <sheetViews>
    <sheetView showGridLines="0" zoomScaleNormal="100" zoomScaleSheetLayoutView="145" workbookViewId="0">
      <pane ySplit="21" topLeftCell="A22" activePane="bottomLeft" state="frozen"/>
      <selection pane="bottomLeft" activeCell="D24" sqref="D24"/>
    </sheetView>
  </sheetViews>
  <sheetFormatPr defaultColWidth="0" defaultRowHeight="10.3" zeroHeight="1" x14ac:dyDescent="0.25"/>
  <cols>
    <col min="1" max="1" width="47.84375" style="26" bestFit="1" customWidth="1"/>
    <col min="2" max="10" width="8.84375" style="26" customWidth="1"/>
    <col min="11" max="11" width="2.15234375" style="26" customWidth="1"/>
    <col min="12" max="16384" width="0" style="26" hidden="1"/>
  </cols>
  <sheetData>
    <row r="1" spans="1:11" s="24" customFormat="1" ht="12.45" x14ac:dyDescent="0.3">
      <c r="A1" s="25" t="s">
        <v>130</v>
      </c>
      <c r="B1" s="25"/>
      <c r="C1" s="88"/>
      <c r="D1" s="88"/>
      <c r="E1" s="88"/>
      <c r="F1" s="88"/>
      <c r="G1" s="88"/>
      <c r="H1" s="88"/>
      <c r="I1" s="88"/>
      <c r="J1" s="88"/>
      <c r="K1" s="88"/>
    </row>
    <row r="2" spans="1:11" ht="12" customHeight="1" x14ac:dyDescent="0.3">
      <c r="A2" s="45" t="s">
        <v>131</v>
      </c>
      <c r="B2" s="45"/>
      <c r="C2" s="45"/>
      <c r="D2" s="76"/>
      <c r="E2" s="76"/>
      <c r="F2" s="76"/>
      <c r="G2" s="45"/>
      <c r="H2" s="45"/>
      <c r="I2" s="45"/>
      <c r="J2" s="45"/>
    </row>
    <row r="3" spans="1:11" ht="12" customHeight="1" x14ac:dyDescent="0.3">
      <c r="A3" s="2" t="s">
        <v>132</v>
      </c>
      <c r="B3" s="45"/>
      <c r="C3" s="45"/>
      <c r="D3" s="104">
        <v>2025</v>
      </c>
      <c r="E3" s="77"/>
      <c r="F3" s="45"/>
      <c r="G3" s="45"/>
      <c r="H3" s="45"/>
      <c r="I3" s="45"/>
      <c r="J3" s="45"/>
    </row>
    <row r="4" spans="1:11" ht="12" customHeight="1" x14ac:dyDescent="0.3">
      <c r="A4" s="2" t="s">
        <v>133</v>
      </c>
      <c r="B4" s="45"/>
      <c r="C4" s="45"/>
      <c r="D4" s="104" t="s">
        <v>134</v>
      </c>
      <c r="E4" s="77"/>
      <c r="F4" s="45"/>
      <c r="G4" s="45"/>
      <c r="H4" s="45"/>
      <c r="I4" s="45"/>
      <c r="J4" s="45"/>
    </row>
    <row r="5" spans="1:11" ht="12" customHeight="1" x14ac:dyDescent="0.25">
      <c r="A5" s="26" t="s">
        <v>135</v>
      </c>
      <c r="D5" s="30">
        <v>0.21</v>
      </c>
    </row>
    <row r="6" spans="1:11" ht="12" customHeight="1" x14ac:dyDescent="0.25">
      <c r="A6" s="26" t="s">
        <v>136</v>
      </c>
      <c r="D6" s="79">
        <v>0.05</v>
      </c>
    </row>
    <row r="7" spans="1:11" ht="12" customHeight="1" x14ac:dyDescent="0.25">
      <c r="A7" s="26" t="s">
        <v>137</v>
      </c>
      <c r="D7" s="79">
        <v>0.02</v>
      </c>
      <c r="E7" s="62"/>
    </row>
    <row r="8" spans="1:11" ht="12" customHeight="1" x14ac:dyDescent="0.25">
      <c r="D8" s="60"/>
      <c r="E8" s="62"/>
    </row>
    <row r="9" spans="1:11" ht="12" customHeight="1" x14ac:dyDescent="0.25">
      <c r="A9" s="2" t="s">
        <v>138</v>
      </c>
      <c r="B9" s="2"/>
      <c r="C9" s="2"/>
      <c r="D9" s="78">
        <v>0</v>
      </c>
      <c r="E9" s="62"/>
    </row>
    <row r="10" spans="1:11" ht="12" customHeight="1" x14ac:dyDescent="0.25">
      <c r="A10" s="10" t="s">
        <v>139</v>
      </c>
      <c r="B10" s="10"/>
      <c r="C10" s="10"/>
      <c r="D10" s="62">
        <f>+D55+D56+D58+D59</f>
        <v>0</v>
      </c>
      <c r="E10" s="62"/>
    </row>
    <row r="11" spans="1:11" ht="12" customHeight="1" x14ac:dyDescent="0.25">
      <c r="A11" s="10" t="s">
        <v>140</v>
      </c>
      <c r="B11" s="10"/>
      <c r="C11" s="10"/>
      <c r="D11" s="78"/>
      <c r="E11" s="62"/>
    </row>
    <row r="12" spans="1:11" ht="12" customHeight="1" x14ac:dyDescent="0.25">
      <c r="A12" s="26" t="s">
        <v>141</v>
      </c>
      <c r="D12" s="78">
        <v>0</v>
      </c>
      <c r="E12" s="62"/>
    </row>
    <row r="13" spans="1:11" ht="12" customHeight="1" x14ac:dyDescent="0.25">
      <c r="A13" s="26" t="s">
        <v>142</v>
      </c>
      <c r="D13" s="28">
        <f>D49</f>
        <v>0</v>
      </c>
      <c r="E13" s="62"/>
    </row>
    <row r="14" spans="1:11" ht="12" customHeight="1" x14ac:dyDescent="0.25">
      <c r="E14" s="62"/>
    </row>
    <row r="15" spans="1:11" ht="12" customHeight="1" x14ac:dyDescent="0.3">
      <c r="A15" s="3" t="s">
        <v>143</v>
      </c>
      <c r="B15" s="3">
        <f>C15-1</f>
        <v>2023</v>
      </c>
      <c r="C15" s="3">
        <f>D15-1</f>
        <v>2024</v>
      </c>
      <c r="D15" s="3">
        <f>D3</f>
        <v>2025</v>
      </c>
      <c r="E15" s="3">
        <f t="shared" ref="E15:J15" si="0">D15+1</f>
        <v>2026</v>
      </c>
      <c r="F15" s="3">
        <f t="shared" si="0"/>
        <v>2027</v>
      </c>
      <c r="G15" s="3">
        <f t="shared" si="0"/>
        <v>2028</v>
      </c>
      <c r="H15" s="3">
        <f t="shared" si="0"/>
        <v>2029</v>
      </c>
      <c r="I15" s="3">
        <f t="shared" si="0"/>
        <v>2030</v>
      </c>
      <c r="J15" s="3">
        <f t="shared" si="0"/>
        <v>2031</v>
      </c>
    </row>
    <row r="16" spans="1:11" ht="12" customHeight="1" x14ac:dyDescent="0.25">
      <c r="A16" s="26" t="s">
        <v>144</v>
      </c>
      <c r="B16" s="112">
        <f>IF('Invoer exploitatie'!B34=0,0,B40/'Invoer exploitatie'!B34*365)</f>
        <v>0</v>
      </c>
      <c r="C16" s="112">
        <f>IF('Invoer exploitatie'!C34=0,0,C40/'Invoer exploitatie'!C34*365)</f>
        <v>0</v>
      </c>
      <c r="D16" s="112">
        <f>IF('Invoer exploitatie'!D34=0,0,D40/'Invoer exploitatie'!D34*365)</f>
        <v>0</v>
      </c>
      <c r="E16" s="113">
        <f t="shared" ref="E16:J16" si="1">D16</f>
        <v>0</v>
      </c>
      <c r="F16" s="113">
        <f t="shared" si="1"/>
        <v>0</v>
      </c>
      <c r="G16" s="113">
        <f t="shared" si="1"/>
        <v>0</v>
      </c>
      <c r="H16" s="113">
        <f t="shared" si="1"/>
        <v>0</v>
      </c>
      <c r="I16" s="113">
        <f t="shared" si="1"/>
        <v>0</v>
      </c>
      <c r="J16" s="113">
        <f t="shared" si="1"/>
        <v>0</v>
      </c>
    </row>
    <row r="17" spans="1:10" ht="12" customHeight="1" x14ac:dyDescent="0.25">
      <c r="A17" s="26" t="s">
        <v>145</v>
      </c>
      <c r="B17" s="112">
        <f>IF('Invoer exploitatie'!B34=0,0,B41/'Invoer exploitatie'!B35*365)</f>
        <v>0</v>
      </c>
      <c r="C17" s="112">
        <f>IF('Invoer exploitatie'!C34=0,0,C41/'Invoer exploitatie'!C35*365)</f>
        <v>0</v>
      </c>
      <c r="D17" s="112">
        <f>IF('Invoer exploitatie'!D34=0,0,D41/'Invoer exploitatie'!D35*365)</f>
        <v>0</v>
      </c>
      <c r="E17" s="113">
        <f t="shared" ref="E17:G18" si="2">D17</f>
        <v>0</v>
      </c>
      <c r="F17" s="113">
        <f t="shared" si="2"/>
        <v>0</v>
      </c>
      <c r="G17" s="113">
        <f t="shared" si="2"/>
        <v>0</v>
      </c>
      <c r="H17" s="113">
        <f t="shared" ref="H17:J19" si="3">+G17</f>
        <v>0</v>
      </c>
      <c r="I17" s="113">
        <f t="shared" si="3"/>
        <v>0</v>
      </c>
      <c r="J17" s="113">
        <f t="shared" si="3"/>
        <v>0</v>
      </c>
    </row>
    <row r="18" spans="1:10" ht="12" customHeight="1" x14ac:dyDescent="0.25">
      <c r="A18" s="26" t="s">
        <v>146</v>
      </c>
      <c r="B18" s="112">
        <f>IF('Invoer exploitatie'!B26=0,0,B42/(1+D5)/'Invoer exploitatie'!B26*365)</f>
        <v>0</v>
      </c>
      <c r="C18" s="112">
        <f>IF('Invoer exploitatie'!C26=0,0,C42/(1+D5)/'Invoer exploitatie'!C26*365)</f>
        <v>0</v>
      </c>
      <c r="D18" s="112">
        <f>IF('Invoer exploitatie'!D26=0,0,D42/(1+D5)/'Invoer exploitatie'!D26*365)</f>
        <v>0</v>
      </c>
      <c r="E18" s="113">
        <f t="shared" si="2"/>
        <v>0</v>
      </c>
      <c r="F18" s="113">
        <f t="shared" si="2"/>
        <v>0</v>
      </c>
      <c r="G18" s="113">
        <f t="shared" si="2"/>
        <v>0</v>
      </c>
      <c r="H18" s="113">
        <f t="shared" si="3"/>
        <v>0</v>
      </c>
      <c r="I18" s="113">
        <f t="shared" si="3"/>
        <v>0</v>
      </c>
      <c r="J18" s="113">
        <f t="shared" si="3"/>
        <v>0</v>
      </c>
    </row>
    <row r="19" spans="1:10" ht="12" customHeight="1" x14ac:dyDescent="0.25">
      <c r="A19" s="26" t="s">
        <v>147</v>
      </c>
      <c r="B19" s="112">
        <f>IF('Invoer exploitatie'!B34=0,0,+B57/(1+D5)/'Invoer exploitatie'!B34*365)</f>
        <v>0</v>
      </c>
      <c r="C19" s="112">
        <f>IF('Invoer exploitatie'!C34=0,0,+C57/(1+D5)/'Invoer exploitatie'!C34*365)</f>
        <v>0</v>
      </c>
      <c r="D19" s="112">
        <f>IF('Invoer exploitatie'!D34=0,0,+D57/(1+D5)/'Invoer exploitatie'!D34*365)</f>
        <v>0</v>
      </c>
      <c r="E19" s="113">
        <f>D19</f>
        <v>0</v>
      </c>
      <c r="F19" s="113">
        <f>E19</f>
        <v>0</v>
      </c>
      <c r="G19" s="113">
        <f>F19</f>
        <v>0</v>
      </c>
      <c r="H19" s="113">
        <f t="shared" si="3"/>
        <v>0</v>
      </c>
      <c r="I19" s="113">
        <f t="shared" si="3"/>
        <v>0</v>
      </c>
      <c r="J19" s="113">
        <f t="shared" si="3"/>
        <v>0</v>
      </c>
    </row>
    <row r="20" spans="1:10" ht="12" customHeight="1" x14ac:dyDescent="0.25">
      <c r="A20" s="26" t="s">
        <v>148</v>
      </c>
      <c r="B20" s="91" t="str">
        <f>IF(B52="","",B52/B68)</f>
        <v/>
      </c>
      <c r="C20" s="91" t="str">
        <f>IF(C52="","",C52/C68)</f>
        <v/>
      </c>
      <c r="D20" s="91" t="str">
        <f>IF(D52="","",D52/D68)</f>
        <v/>
      </c>
      <c r="E20" s="91" t="str">
        <f t="shared" ref="E20:J20" si="4">IF(E52=0,"",E52/E68)</f>
        <v/>
      </c>
      <c r="F20" s="91" t="str">
        <f t="shared" si="4"/>
        <v/>
      </c>
      <c r="G20" s="91" t="str">
        <f t="shared" si="4"/>
        <v/>
      </c>
      <c r="H20" s="91" t="str">
        <f t="shared" si="4"/>
        <v/>
      </c>
      <c r="I20" s="91" t="str">
        <f t="shared" si="4"/>
        <v/>
      </c>
      <c r="J20" s="91" t="str">
        <f t="shared" si="4"/>
        <v/>
      </c>
    </row>
    <row r="21" spans="1:10" ht="12" customHeight="1" x14ac:dyDescent="0.25">
      <c r="A21" s="26" t="s">
        <v>149</v>
      </c>
      <c r="B21" s="91" t="str">
        <f>IF(B52="","",B52/(B52+B55+B56))</f>
        <v/>
      </c>
      <c r="C21" s="91" t="str">
        <f>IF(C52="","",C52/(C52+C55+C56))</f>
        <v/>
      </c>
      <c r="D21" s="91" t="str">
        <f>IF(D52="","",D52/(D52+D55+D56))</f>
        <v/>
      </c>
      <c r="E21" s="91" t="str">
        <f t="shared" ref="E21:J21" si="5">IF(E52=0,"",E52/(E52+E55+E56))</f>
        <v/>
      </c>
      <c r="F21" s="91" t="str">
        <f t="shared" si="5"/>
        <v/>
      </c>
      <c r="G21" s="91" t="str">
        <f t="shared" si="5"/>
        <v/>
      </c>
      <c r="H21" s="91" t="str">
        <f t="shared" si="5"/>
        <v/>
      </c>
      <c r="I21" s="91" t="str">
        <f t="shared" si="5"/>
        <v/>
      </c>
      <c r="J21" s="91" t="str">
        <f t="shared" si="5"/>
        <v/>
      </c>
    </row>
    <row r="22" spans="1:10" s="87" customFormat="1" ht="12" customHeight="1" x14ac:dyDescent="0.3">
      <c r="A22" s="3" t="str">
        <f>"Balans                     "&amp;"(bedragen x € "&amp;IF(D4="x 1.000","1.000",1)&amp;")"</f>
        <v>Balans                     (bedragen x € 1.000)</v>
      </c>
      <c r="B22" s="3">
        <f t="shared" ref="B22:J22" si="6">B15</f>
        <v>2023</v>
      </c>
      <c r="C22" s="3">
        <f t="shared" si="6"/>
        <v>2024</v>
      </c>
      <c r="D22" s="3">
        <f t="shared" si="6"/>
        <v>2025</v>
      </c>
      <c r="E22" s="3">
        <f t="shared" si="6"/>
        <v>2026</v>
      </c>
      <c r="F22" s="3">
        <f t="shared" si="6"/>
        <v>2027</v>
      </c>
      <c r="G22" s="3">
        <f t="shared" si="6"/>
        <v>2028</v>
      </c>
      <c r="H22" s="3">
        <f t="shared" si="6"/>
        <v>2029</v>
      </c>
      <c r="I22" s="3">
        <f t="shared" si="6"/>
        <v>2030</v>
      </c>
      <c r="J22" s="3">
        <f t="shared" si="6"/>
        <v>2031</v>
      </c>
    </row>
    <row r="23" spans="1:10" s="34" customFormat="1" ht="12" customHeight="1" x14ac:dyDescent="0.3">
      <c r="A23" s="98" t="s">
        <v>150</v>
      </c>
      <c r="B23" s="114"/>
      <c r="C23" s="114"/>
      <c r="D23" s="114"/>
      <c r="E23" s="115">
        <f t="shared" ref="E23:J23" si="7">D23</f>
        <v>0</v>
      </c>
      <c r="F23" s="115">
        <f t="shared" si="7"/>
        <v>0</v>
      </c>
      <c r="G23" s="115">
        <f t="shared" si="7"/>
        <v>0</v>
      </c>
      <c r="H23" s="115">
        <f t="shared" si="7"/>
        <v>0</v>
      </c>
      <c r="I23" s="115">
        <f t="shared" si="7"/>
        <v>0</v>
      </c>
      <c r="J23" s="115">
        <f t="shared" si="7"/>
        <v>0</v>
      </c>
    </row>
    <row r="24" spans="1:10" s="34" customFormat="1" ht="12" customHeight="1" x14ac:dyDescent="0.3">
      <c r="A24" s="98" t="s">
        <v>151</v>
      </c>
      <c r="B24" s="114"/>
      <c r="C24" s="114"/>
      <c r="D24" s="114"/>
      <c r="E24" s="114">
        <f>-'Invoer exploitatie'!E82</f>
        <v>0</v>
      </c>
      <c r="F24" s="114">
        <f>-'Invoer exploitatie'!F82</f>
        <v>0</v>
      </c>
      <c r="G24" s="114">
        <f>-'Invoer exploitatie'!G82</f>
        <v>0</v>
      </c>
      <c r="H24" s="114">
        <f>-'Invoer exploitatie'!H82</f>
        <v>0</v>
      </c>
      <c r="I24" s="114">
        <f>-'Invoer exploitatie'!I82</f>
        <v>0</v>
      </c>
      <c r="J24" s="114">
        <f>-'Invoer exploitatie'!J82</f>
        <v>0</v>
      </c>
    </row>
    <row r="25" spans="1:10" ht="12" customHeight="1" x14ac:dyDescent="0.25">
      <c r="A25" s="2" t="s">
        <v>152</v>
      </c>
      <c r="B25" s="116"/>
      <c r="C25" s="116"/>
      <c r="D25" s="116"/>
      <c r="E25" s="117">
        <f t="shared" ref="E25:J25" si="8">D25+E23+E24</f>
        <v>0</v>
      </c>
      <c r="F25" s="117">
        <f t="shared" si="8"/>
        <v>0</v>
      </c>
      <c r="G25" s="117">
        <f t="shared" si="8"/>
        <v>0</v>
      </c>
      <c r="H25" s="117">
        <f t="shared" si="8"/>
        <v>0</v>
      </c>
      <c r="I25" s="117">
        <f t="shared" si="8"/>
        <v>0</v>
      </c>
      <c r="J25" s="117">
        <f t="shared" si="8"/>
        <v>0</v>
      </c>
    </row>
    <row r="26" spans="1:10" ht="12" customHeight="1" x14ac:dyDescent="0.3">
      <c r="A26" s="2"/>
      <c r="B26" s="118"/>
      <c r="C26" s="118"/>
      <c r="D26" s="118"/>
      <c r="E26" s="61"/>
      <c r="F26" s="61"/>
      <c r="G26" s="61"/>
      <c r="H26" s="61"/>
      <c r="I26" s="61"/>
      <c r="J26" s="61"/>
    </row>
    <row r="27" spans="1:10" s="34" customFormat="1" ht="12" customHeight="1" x14ac:dyDescent="0.3">
      <c r="A27" s="98" t="s">
        <v>153</v>
      </c>
      <c r="B27" s="114"/>
      <c r="C27" s="114"/>
      <c r="D27" s="114"/>
      <c r="E27" s="115">
        <f>D27</f>
        <v>0</v>
      </c>
      <c r="F27" s="115">
        <f t="shared" ref="F27:J27" si="9">E27</f>
        <v>0</v>
      </c>
      <c r="G27" s="115">
        <f t="shared" si="9"/>
        <v>0</v>
      </c>
      <c r="H27" s="115">
        <f t="shared" si="9"/>
        <v>0</v>
      </c>
      <c r="I27" s="115">
        <f t="shared" si="9"/>
        <v>0</v>
      </c>
      <c r="J27" s="115">
        <f t="shared" si="9"/>
        <v>0</v>
      </c>
    </row>
    <row r="28" spans="1:10" s="34" customFormat="1" ht="12" customHeight="1" x14ac:dyDescent="0.3">
      <c r="A28" s="99" t="s">
        <v>154</v>
      </c>
      <c r="B28" s="114"/>
      <c r="C28" s="114"/>
      <c r="D28" s="114"/>
      <c r="E28" s="114">
        <f>-'Invoer exploitatie'!E84</f>
        <v>0</v>
      </c>
      <c r="F28" s="114">
        <f>-'Invoer exploitatie'!F84</f>
        <v>0</v>
      </c>
      <c r="G28" s="114">
        <f>-'Invoer exploitatie'!G84</f>
        <v>0</v>
      </c>
      <c r="H28" s="114">
        <f>-'Invoer exploitatie'!H84</f>
        <v>0</v>
      </c>
      <c r="I28" s="114">
        <f>-'Invoer exploitatie'!I84</f>
        <v>0</v>
      </c>
      <c r="J28" s="114">
        <f>-'Invoer exploitatie'!J84</f>
        <v>0</v>
      </c>
    </row>
    <row r="29" spans="1:10" ht="12" customHeight="1" x14ac:dyDescent="0.25">
      <c r="A29" s="26" t="s">
        <v>155</v>
      </c>
      <c r="B29" s="116"/>
      <c r="C29" s="116"/>
      <c r="D29" s="116"/>
      <c r="E29" s="117">
        <f t="shared" ref="E29:J29" si="10">D29+E27+E28</f>
        <v>0</v>
      </c>
      <c r="F29" s="117">
        <f t="shared" si="10"/>
        <v>0</v>
      </c>
      <c r="G29" s="117">
        <f t="shared" si="10"/>
        <v>0</v>
      </c>
      <c r="H29" s="117">
        <f t="shared" si="10"/>
        <v>0</v>
      </c>
      <c r="I29" s="117">
        <f t="shared" si="10"/>
        <v>0</v>
      </c>
      <c r="J29" s="117">
        <f t="shared" si="10"/>
        <v>0</v>
      </c>
    </row>
    <row r="30" spans="1:10" s="34" customFormat="1" ht="12" customHeight="1" x14ac:dyDescent="0.3">
      <c r="A30" s="98" t="s">
        <v>156</v>
      </c>
      <c r="B30" s="114"/>
      <c r="C30" s="114"/>
      <c r="D30" s="114"/>
      <c r="E30" s="115">
        <f>D30</f>
        <v>0</v>
      </c>
      <c r="F30" s="115">
        <f t="shared" ref="F30:J30" si="11">E30</f>
        <v>0</v>
      </c>
      <c r="G30" s="115">
        <f t="shared" si="11"/>
        <v>0</v>
      </c>
      <c r="H30" s="115">
        <f t="shared" si="11"/>
        <v>0</v>
      </c>
      <c r="I30" s="115">
        <f t="shared" si="11"/>
        <v>0</v>
      </c>
      <c r="J30" s="115">
        <f t="shared" si="11"/>
        <v>0</v>
      </c>
    </row>
    <row r="31" spans="1:10" s="34" customFormat="1" ht="12" customHeight="1" x14ac:dyDescent="0.3">
      <c r="A31" s="99" t="s">
        <v>157</v>
      </c>
      <c r="B31" s="114"/>
      <c r="C31" s="114"/>
      <c r="D31" s="114"/>
      <c r="E31" s="114">
        <f>-'Invoer exploitatie'!E85</f>
        <v>0</v>
      </c>
      <c r="F31" s="114">
        <f>-'Invoer exploitatie'!F85</f>
        <v>0</v>
      </c>
      <c r="G31" s="114">
        <f>-'Invoer exploitatie'!G85</f>
        <v>0</v>
      </c>
      <c r="H31" s="114">
        <f>-'Invoer exploitatie'!H85</f>
        <v>0</v>
      </c>
      <c r="I31" s="114">
        <f>-'Invoer exploitatie'!I85</f>
        <v>0</v>
      </c>
      <c r="J31" s="114">
        <f>-'Invoer exploitatie'!J85</f>
        <v>0</v>
      </c>
    </row>
    <row r="32" spans="1:10" ht="12" customHeight="1" x14ac:dyDescent="0.25">
      <c r="A32" s="26" t="s">
        <v>158</v>
      </c>
      <c r="B32" s="116"/>
      <c r="C32" s="116"/>
      <c r="D32" s="116"/>
      <c r="E32" s="117">
        <f t="shared" ref="E32:J32" si="12">D32+E30+E31</f>
        <v>0</v>
      </c>
      <c r="F32" s="117">
        <f t="shared" si="12"/>
        <v>0</v>
      </c>
      <c r="G32" s="117">
        <f t="shared" si="12"/>
        <v>0</v>
      </c>
      <c r="H32" s="117">
        <f t="shared" si="12"/>
        <v>0</v>
      </c>
      <c r="I32" s="117">
        <f t="shared" si="12"/>
        <v>0</v>
      </c>
      <c r="J32" s="117">
        <f t="shared" si="12"/>
        <v>0</v>
      </c>
    </row>
    <row r="33" spans="1:10" s="34" customFormat="1" ht="12" customHeight="1" x14ac:dyDescent="0.3">
      <c r="A33" s="98" t="s">
        <v>159</v>
      </c>
      <c r="B33" s="114"/>
      <c r="C33" s="114"/>
      <c r="D33" s="114"/>
      <c r="E33" s="115">
        <f>D33</f>
        <v>0</v>
      </c>
      <c r="F33" s="115">
        <f t="shared" ref="F33:J33" si="13">E33</f>
        <v>0</v>
      </c>
      <c r="G33" s="115">
        <f t="shared" si="13"/>
        <v>0</v>
      </c>
      <c r="H33" s="115">
        <f t="shared" si="13"/>
        <v>0</v>
      </c>
      <c r="I33" s="115">
        <f t="shared" si="13"/>
        <v>0</v>
      </c>
      <c r="J33" s="115">
        <f t="shared" si="13"/>
        <v>0</v>
      </c>
    </row>
    <row r="34" spans="1:10" s="34" customFormat="1" ht="12" customHeight="1" x14ac:dyDescent="0.3">
      <c r="A34" s="99" t="s">
        <v>160</v>
      </c>
      <c r="B34" s="114"/>
      <c r="C34" s="114"/>
      <c r="D34" s="114"/>
      <c r="E34" s="114">
        <f>-'Invoer exploitatie'!E86</f>
        <v>0</v>
      </c>
      <c r="F34" s="114">
        <f>-'Invoer exploitatie'!F86</f>
        <v>0</v>
      </c>
      <c r="G34" s="114">
        <f>-'Invoer exploitatie'!G86</f>
        <v>0</v>
      </c>
      <c r="H34" s="114">
        <f>-'Invoer exploitatie'!H86</f>
        <v>0</v>
      </c>
      <c r="I34" s="114">
        <f>-'Invoer exploitatie'!I86</f>
        <v>0</v>
      </c>
      <c r="J34" s="114">
        <f>-'Invoer exploitatie'!J86</f>
        <v>0</v>
      </c>
    </row>
    <row r="35" spans="1:10" ht="12" customHeight="1" x14ac:dyDescent="0.25">
      <c r="A35" s="26" t="s">
        <v>161</v>
      </c>
      <c r="B35" s="116"/>
      <c r="C35" s="116"/>
      <c r="D35" s="116"/>
      <c r="E35" s="117">
        <f t="shared" ref="E35:J35" si="14">D35+E33+E34</f>
        <v>0</v>
      </c>
      <c r="F35" s="117">
        <f t="shared" si="14"/>
        <v>0</v>
      </c>
      <c r="G35" s="117">
        <f t="shared" si="14"/>
        <v>0</v>
      </c>
      <c r="H35" s="117">
        <f t="shared" si="14"/>
        <v>0</v>
      </c>
      <c r="I35" s="117">
        <f t="shared" si="14"/>
        <v>0</v>
      </c>
      <c r="J35" s="117">
        <f t="shared" si="14"/>
        <v>0</v>
      </c>
    </row>
    <row r="36" spans="1:10" s="34" customFormat="1" ht="12" customHeight="1" x14ac:dyDescent="0.3">
      <c r="A36" s="98" t="s">
        <v>162</v>
      </c>
      <c r="B36" s="119"/>
      <c r="C36" s="119"/>
      <c r="D36" s="119"/>
      <c r="E36" s="115">
        <f>D36</f>
        <v>0</v>
      </c>
      <c r="F36" s="115">
        <f t="shared" ref="F36:J36" si="15">E36</f>
        <v>0</v>
      </c>
      <c r="G36" s="115">
        <f t="shared" si="15"/>
        <v>0</v>
      </c>
      <c r="H36" s="115">
        <f t="shared" si="15"/>
        <v>0</v>
      </c>
      <c r="I36" s="115">
        <f t="shared" si="15"/>
        <v>0</v>
      </c>
      <c r="J36" s="115">
        <f t="shared" si="15"/>
        <v>0</v>
      </c>
    </row>
    <row r="37" spans="1:10" s="34" customFormat="1" ht="12" customHeight="1" x14ac:dyDescent="0.3">
      <c r="A37" s="99" t="s">
        <v>163</v>
      </c>
      <c r="B37" s="120"/>
      <c r="C37" s="120"/>
      <c r="D37" s="120"/>
      <c r="E37" s="121">
        <f>-'Invoer exploitatie'!E87</f>
        <v>0</v>
      </c>
      <c r="F37" s="121">
        <f>-'Invoer exploitatie'!F87</f>
        <v>0</v>
      </c>
      <c r="G37" s="121">
        <f>-'Invoer exploitatie'!G87</f>
        <v>0</v>
      </c>
      <c r="H37" s="121">
        <f>-'Invoer exploitatie'!H87</f>
        <v>0</v>
      </c>
      <c r="I37" s="121">
        <f>-'Invoer exploitatie'!I87</f>
        <v>0</v>
      </c>
      <c r="J37" s="121">
        <f>-'Invoer exploitatie'!J87</f>
        <v>0</v>
      </c>
    </row>
    <row r="38" spans="1:10" ht="12" customHeight="1" x14ac:dyDescent="0.25">
      <c r="A38" s="26" t="s">
        <v>164</v>
      </c>
      <c r="B38" s="116"/>
      <c r="C38" s="116"/>
      <c r="D38" s="116"/>
      <c r="E38" s="122">
        <f t="shared" ref="E38:J38" si="16">D38+E36+E37</f>
        <v>0</v>
      </c>
      <c r="F38" s="122">
        <f t="shared" si="16"/>
        <v>0</v>
      </c>
      <c r="G38" s="122">
        <f t="shared" si="16"/>
        <v>0</v>
      </c>
      <c r="H38" s="122">
        <f t="shared" si="16"/>
        <v>0</v>
      </c>
      <c r="I38" s="122">
        <f t="shared" si="16"/>
        <v>0</v>
      </c>
      <c r="J38" s="122">
        <f t="shared" si="16"/>
        <v>0</v>
      </c>
    </row>
    <row r="39" spans="1:10" ht="12" customHeight="1" x14ac:dyDescent="0.3">
      <c r="A39" s="26" t="s">
        <v>165</v>
      </c>
      <c r="B39" s="116"/>
      <c r="C39" s="116"/>
      <c r="D39" s="116"/>
      <c r="E39" s="115">
        <f t="shared" ref="E39:J39" si="17">D39</f>
        <v>0</v>
      </c>
      <c r="F39" s="115">
        <f t="shared" si="17"/>
        <v>0</v>
      </c>
      <c r="G39" s="115">
        <f t="shared" si="17"/>
        <v>0</v>
      </c>
      <c r="H39" s="115">
        <f t="shared" si="17"/>
        <v>0</v>
      </c>
      <c r="I39" s="115">
        <f t="shared" si="17"/>
        <v>0</v>
      </c>
      <c r="J39" s="115">
        <f t="shared" si="17"/>
        <v>0</v>
      </c>
    </row>
    <row r="40" spans="1:10" ht="12" customHeight="1" x14ac:dyDescent="0.25">
      <c r="A40" s="2" t="s">
        <v>166</v>
      </c>
      <c r="B40" s="123"/>
      <c r="C40" s="123"/>
      <c r="D40" s="123"/>
      <c r="E40" s="124">
        <f>+E16/365*'Invoer exploitatie'!E26*(1-'Invoer exploitatie'!E16)</f>
        <v>0</v>
      </c>
      <c r="F40" s="124">
        <f>+F16/365*'Invoer exploitatie'!F26*(1-'Invoer exploitatie'!F16)</f>
        <v>0</v>
      </c>
      <c r="G40" s="124">
        <f>+G16/365*'Invoer exploitatie'!G26*(1-'Invoer exploitatie'!G16)</f>
        <v>0</v>
      </c>
      <c r="H40" s="124">
        <f>+H16/365*'Invoer exploitatie'!H26*(1-'Invoer exploitatie'!H16)</f>
        <v>0</v>
      </c>
      <c r="I40" s="124">
        <f>+I16/365*'Invoer exploitatie'!I26*(1-'Invoer exploitatie'!I16)</f>
        <v>0</v>
      </c>
      <c r="J40" s="124">
        <f>+J16/365*'Invoer exploitatie'!J26*(1-'Invoer exploitatie'!J16)</f>
        <v>0</v>
      </c>
    </row>
    <row r="41" spans="1:10" ht="12" customHeight="1" x14ac:dyDescent="0.25">
      <c r="A41" s="2" t="s">
        <v>167</v>
      </c>
      <c r="B41" s="123"/>
      <c r="C41" s="123"/>
      <c r="D41" s="123"/>
      <c r="E41" s="124">
        <f>+E17/365*'Invoer exploitatie'!E26*('Invoer exploitatie'!E16)</f>
        <v>0</v>
      </c>
      <c r="F41" s="124">
        <f>+F17/365*'Invoer exploitatie'!F26*('Invoer exploitatie'!F16)</f>
        <v>0</v>
      </c>
      <c r="G41" s="124">
        <f>+G17/365*'Invoer exploitatie'!G26*('Invoer exploitatie'!G16)</f>
        <v>0</v>
      </c>
      <c r="H41" s="124">
        <f>+H17/365*'Invoer exploitatie'!H26*('Invoer exploitatie'!H16)</f>
        <v>0</v>
      </c>
      <c r="I41" s="124">
        <f>+I17/365*'Invoer exploitatie'!I26*('Invoer exploitatie'!I16)</f>
        <v>0</v>
      </c>
      <c r="J41" s="124">
        <f>+J17/365*'Invoer exploitatie'!J26*('Invoer exploitatie'!J16)</f>
        <v>0</v>
      </c>
    </row>
    <row r="42" spans="1:10" ht="12" customHeight="1" x14ac:dyDescent="0.25">
      <c r="A42" s="2" t="s">
        <v>168</v>
      </c>
      <c r="B42" s="123"/>
      <c r="C42" s="123"/>
      <c r="D42" s="123"/>
      <c r="E42" s="124">
        <f>+E18/365*'Invoer exploitatie'!E26*(1+D5)</f>
        <v>0</v>
      </c>
      <c r="F42" s="124">
        <f>+F18/365*'Invoer exploitatie'!F26*(1+$D$5)</f>
        <v>0</v>
      </c>
      <c r="G42" s="124">
        <f>+G18/365*'Invoer exploitatie'!G26*(1+$D$5)</f>
        <v>0</v>
      </c>
      <c r="H42" s="124">
        <f>+H18/365*'Invoer exploitatie'!H26*(1+$D$5)</f>
        <v>0</v>
      </c>
      <c r="I42" s="124">
        <f>+I18/365*'Invoer exploitatie'!I26*(1+$D$5)</f>
        <v>0</v>
      </c>
      <c r="J42" s="124">
        <f>+J18/365*'Invoer exploitatie'!J26*(1+$D$5)</f>
        <v>0</v>
      </c>
    </row>
    <row r="43" spans="1:10" ht="12" customHeight="1" x14ac:dyDescent="0.25">
      <c r="A43" s="2" t="s">
        <v>169</v>
      </c>
      <c r="B43" s="123"/>
      <c r="C43" s="123"/>
      <c r="D43" s="123"/>
      <c r="E43" s="116">
        <f t="shared" ref="E43:J44" si="18">D43</f>
        <v>0</v>
      </c>
      <c r="F43" s="116">
        <f t="shared" si="18"/>
        <v>0</v>
      </c>
      <c r="G43" s="116">
        <f t="shared" si="18"/>
        <v>0</v>
      </c>
      <c r="H43" s="116">
        <f t="shared" si="18"/>
        <v>0</v>
      </c>
      <c r="I43" s="116">
        <f t="shared" si="18"/>
        <v>0</v>
      </c>
      <c r="J43" s="116">
        <f t="shared" si="18"/>
        <v>0</v>
      </c>
    </row>
    <row r="44" spans="1:10" ht="12" customHeight="1" x14ac:dyDescent="0.25">
      <c r="A44" s="2" t="s">
        <v>170</v>
      </c>
      <c r="B44" s="123"/>
      <c r="C44" s="123"/>
      <c r="D44" s="123"/>
      <c r="E44" s="116">
        <f t="shared" si="18"/>
        <v>0</v>
      </c>
      <c r="F44" s="116">
        <f t="shared" si="18"/>
        <v>0</v>
      </c>
      <c r="G44" s="116">
        <f t="shared" si="18"/>
        <v>0</v>
      </c>
      <c r="H44" s="116">
        <f t="shared" si="18"/>
        <v>0</v>
      </c>
      <c r="I44" s="116">
        <f t="shared" si="18"/>
        <v>0</v>
      </c>
      <c r="J44" s="116">
        <f t="shared" si="18"/>
        <v>0</v>
      </c>
    </row>
    <row r="45" spans="1:10" ht="12" customHeight="1" x14ac:dyDescent="0.25">
      <c r="A45" s="2" t="s">
        <v>171</v>
      </c>
      <c r="B45" s="123"/>
      <c r="C45" s="123"/>
      <c r="D45" s="123"/>
      <c r="E45" s="116">
        <v>0</v>
      </c>
      <c r="F45" s="116">
        <v>0</v>
      </c>
      <c r="G45" s="116">
        <v>0</v>
      </c>
      <c r="H45" s="116">
        <v>0</v>
      </c>
      <c r="I45" s="116">
        <v>0</v>
      </c>
      <c r="J45" s="116">
        <v>0</v>
      </c>
    </row>
    <row r="46" spans="1:10" ht="12" customHeight="1" x14ac:dyDescent="0.25">
      <c r="A46" s="2" t="s">
        <v>172</v>
      </c>
      <c r="B46" s="123"/>
      <c r="C46" s="123"/>
      <c r="D46" s="123"/>
      <c r="E46" s="124">
        <f>IF(E74&lt;0,-E74,0)</f>
        <v>0</v>
      </c>
      <c r="F46" s="124">
        <f>IF(F74&lt;0,F74,0)</f>
        <v>0</v>
      </c>
      <c r="G46" s="124">
        <f>IF(G74&lt;0,G74,0)</f>
        <v>0</v>
      </c>
      <c r="H46" s="124">
        <f>IF(H74&lt;0,H74,0)</f>
        <v>0</v>
      </c>
      <c r="I46" s="124">
        <f>IF(I74&lt;0,I74,0)</f>
        <v>0</v>
      </c>
      <c r="J46" s="124">
        <f>IF(J74&lt;0,J74,0)</f>
        <v>0</v>
      </c>
    </row>
    <row r="47" spans="1:10" ht="12" customHeight="1" x14ac:dyDescent="0.25">
      <c r="A47" s="26" t="s">
        <v>173</v>
      </c>
      <c r="B47" s="123"/>
      <c r="C47" s="123"/>
      <c r="D47" s="123"/>
      <c r="E47" s="122">
        <f t="shared" ref="E47:J48" si="19">D47*(1+inflatie)</f>
        <v>0</v>
      </c>
      <c r="F47" s="122">
        <f t="shared" si="19"/>
        <v>0</v>
      </c>
      <c r="G47" s="122">
        <f t="shared" si="19"/>
        <v>0</v>
      </c>
      <c r="H47" s="122">
        <f t="shared" si="19"/>
        <v>0</v>
      </c>
      <c r="I47" s="122">
        <f t="shared" si="19"/>
        <v>0</v>
      </c>
      <c r="J47" s="122">
        <f t="shared" si="19"/>
        <v>0</v>
      </c>
    </row>
    <row r="48" spans="1:10" ht="12" customHeight="1" x14ac:dyDescent="0.25">
      <c r="A48" s="2" t="s">
        <v>174</v>
      </c>
      <c r="B48" s="125"/>
      <c r="C48" s="125"/>
      <c r="D48" s="125"/>
      <c r="E48" s="61">
        <f>D48*(1+inflatie)</f>
        <v>0</v>
      </c>
      <c r="F48" s="61">
        <f t="shared" si="19"/>
        <v>0</v>
      </c>
      <c r="G48" s="61">
        <f t="shared" si="19"/>
        <v>0</v>
      </c>
      <c r="H48" s="61">
        <f t="shared" si="19"/>
        <v>0</v>
      </c>
      <c r="I48" s="61">
        <f t="shared" si="19"/>
        <v>0</v>
      </c>
      <c r="J48" s="61">
        <f t="shared" si="19"/>
        <v>0</v>
      </c>
    </row>
    <row r="49" spans="1:12" ht="12" customHeight="1" x14ac:dyDescent="0.25">
      <c r="A49" s="26" t="s">
        <v>175</v>
      </c>
      <c r="B49" s="126"/>
      <c r="C49" s="126"/>
      <c r="D49" s="126"/>
      <c r="E49" s="127">
        <f t="shared" ref="E49:J49" si="20">-IF((E25+E29+E32+E35+SUM(E38:E48))&lt;(SUM(E52:E55)+SUM(E57:E59)+SUM(E64:E67)),(E25+E29+E32+E35+SUM(E38:E48))-SUM(E52:E55)-SUM(E57:E59)-SUM(E64:E67),0)</f>
        <v>0</v>
      </c>
      <c r="F49" s="127">
        <f t="shared" si="20"/>
        <v>0</v>
      </c>
      <c r="G49" s="127">
        <f t="shared" si="20"/>
        <v>0</v>
      </c>
      <c r="H49" s="127">
        <f t="shared" si="20"/>
        <v>0</v>
      </c>
      <c r="I49" s="127">
        <f t="shared" si="20"/>
        <v>0</v>
      </c>
      <c r="J49" s="127">
        <f t="shared" si="20"/>
        <v>0</v>
      </c>
      <c r="L49" s="28"/>
    </row>
    <row r="50" spans="1:12" s="87" customFormat="1" ht="12" customHeight="1" x14ac:dyDescent="0.25">
      <c r="A50" s="87" t="s">
        <v>176</v>
      </c>
      <c r="B50" s="128">
        <f>B25+B29+B32+B35+SUM(B38:B49)</f>
        <v>0</v>
      </c>
      <c r="C50" s="128">
        <f t="shared" ref="C50:J50" si="21">C25+C29+C32+C35+SUM(C38:C49)</f>
        <v>0</v>
      </c>
      <c r="D50" s="128">
        <f t="shared" si="21"/>
        <v>0</v>
      </c>
      <c r="E50" s="128">
        <f t="shared" si="21"/>
        <v>0</v>
      </c>
      <c r="F50" s="128">
        <f t="shared" si="21"/>
        <v>0</v>
      </c>
      <c r="G50" s="128">
        <f t="shared" si="21"/>
        <v>0</v>
      </c>
      <c r="H50" s="128">
        <f t="shared" si="21"/>
        <v>0</v>
      </c>
      <c r="I50" s="128">
        <f t="shared" si="21"/>
        <v>0</v>
      </c>
      <c r="J50" s="128">
        <f t="shared" si="21"/>
        <v>0</v>
      </c>
      <c r="L50" s="102"/>
    </row>
    <row r="51" spans="1:12" ht="12" customHeight="1" x14ac:dyDescent="0.25">
      <c r="B51" s="112"/>
      <c r="C51" s="112"/>
      <c r="D51" s="112"/>
      <c r="E51" s="112"/>
      <c r="F51" s="112"/>
      <c r="G51" s="112"/>
      <c r="H51" s="112"/>
      <c r="I51" s="112"/>
      <c r="J51" s="112"/>
    </row>
    <row r="52" spans="1:12" ht="12" customHeight="1" x14ac:dyDescent="0.25">
      <c r="A52" s="26" t="s">
        <v>177</v>
      </c>
      <c r="B52" s="125"/>
      <c r="C52" s="125"/>
      <c r="D52" s="125"/>
      <c r="E52" s="122">
        <f>D52+'Invoer exploitatie'!E101</f>
        <v>0</v>
      </c>
      <c r="F52" s="122">
        <f>E52+E53+'Invoer exploitatie'!F101</f>
        <v>0</v>
      </c>
      <c r="G52" s="122">
        <f>F52+F53+'Invoer exploitatie'!G101</f>
        <v>0</v>
      </c>
      <c r="H52" s="122">
        <f>G52+G53+'Invoer exploitatie'!H101</f>
        <v>0</v>
      </c>
      <c r="I52" s="122">
        <f>H52+H53+'Invoer exploitatie'!I101</f>
        <v>0</v>
      </c>
      <c r="J52" s="122">
        <f>I52+I53+'Invoer exploitatie'!J101</f>
        <v>0</v>
      </c>
    </row>
    <row r="53" spans="1:12" ht="12" customHeight="1" x14ac:dyDescent="0.3">
      <c r="A53" s="34" t="s">
        <v>178</v>
      </c>
      <c r="B53" s="129"/>
      <c r="C53" s="129"/>
      <c r="D53" s="129"/>
      <c r="E53" s="115">
        <v>0</v>
      </c>
      <c r="F53" s="115">
        <v>0</v>
      </c>
      <c r="G53" s="115">
        <v>0</v>
      </c>
      <c r="H53" s="115">
        <v>0</v>
      </c>
      <c r="I53" s="115">
        <v>0</v>
      </c>
      <c r="J53" s="115">
        <v>0</v>
      </c>
    </row>
    <row r="54" spans="1:12" ht="12" customHeight="1" x14ac:dyDescent="0.25">
      <c r="A54" s="26" t="s">
        <v>179</v>
      </c>
      <c r="B54" s="123"/>
      <c r="C54" s="123"/>
      <c r="D54" s="123"/>
      <c r="E54" s="116">
        <v>0</v>
      </c>
      <c r="F54" s="116">
        <v>0</v>
      </c>
      <c r="G54" s="116">
        <v>0</v>
      </c>
      <c r="H54" s="116">
        <v>0</v>
      </c>
      <c r="I54" s="116">
        <v>0</v>
      </c>
      <c r="J54" s="116">
        <v>0</v>
      </c>
    </row>
    <row r="55" spans="1:12" ht="12" customHeight="1" x14ac:dyDescent="0.25">
      <c r="A55" s="10" t="s">
        <v>180</v>
      </c>
      <c r="B55" s="130"/>
      <c r="C55" s="130"/>
      <c r="D55" s="130"/>
      <c r="E55" s="116">
        <f t="shared" ref="E55:J55" si="22">D55</f>
        <v>0</v>
      </c>
      <c r="F55" s="116">
        <f t="shared" si="22"/>
        <v>0</v>
      </c>
      <c r="G55" s="116">
        <f t="shared" si="22"/>
        <v>0</v>
      </c>
      <c r="H55" s="116">
        <f t="shared" si="22"/>
        <v>0</v>
      </c>
      <c r="I55" s="116">
        <f t="shared" si="22"/>
        <v>0</v>
      </c>
      <c r="J55" s="116">
        <f t="shared" si="22"/>
        <v>0</v>
      </c>
    </row>
    <row r="56" spans="1:12" ht="12" customHeight="1" x14ac:dyDescent="0.25">
      <c r="A56" s="10" t="s">
        <v>181</v>
      </c>
      <c r="B56" s="130"/>
      <c r="C56" s="130"/>
      <c r="D56" s="130"/>
      <c r="E56" s="122">
        <f t="shared" ref="E56:J56" si="23">IF((E25+E29+E32+E35+SUM(E38:E48))&gt;(SUM(E52:E55)+SUM(E57:E59)+SUM(E64:E67)),(E25+E29+E32+E35+SUM(E38:E48))-SUM(E52:E55)-SUM(E57:E59)-SUM(E64:E67),0)</f>
        <v>0</v>
      </c>
      <c r="F56" s="122">
        <f t="shared" si="23"/>
        <v>0</v>
      </c>
      <c r="G56" s="122">
        <f t="shared" si="23"/>
        <v>0</v>
      </c>
      <c r="H56" s="122">
        <f t="shared" si="23"/>
        <v>0</v>
      </c>
      <c r="I56" s="122">
        <f t="shared" si="23"/>
        <v>0</v>
      </c>
      <c r="J56" s="122">
        <f t="shared" si="23"/>
        <v>0</v>
      </c>
    </row>
    <row r="57" spans="1:12" ht="12" customHeight="1" x14ac:dyDescent="0.25">
      <c r="A57" s="2" t="s">
        <v>182</v>
      </c>
      <c r="B57" s="123"/>
      <c r="C57" s="123"/>
      <c r="D57" s="123"/>
      <c r="E57" s="124">
        <f>+'Invoer exploitatie'!E34/365*E19*(1+$D$5)</f>
        <v>0</v>
      </c>
      <c r="F57" s="124">
        <f>+'Invoer exploitatie'!F34/365*F19*(1+$D$5)</f>
        <v>0</v>
      </c>
      <c r="G57" s="124">
        <f>+'Invoer exploitatie'!G34/365*G19*(1+$D$5)</f>
        <v>0</v>
      </c>
      <c r="H57" s="124">
        <f>+'Invoer exploitatie'!H34/365*H19*(1+$D$5)</f>
        <v>0</v>
      </c>
      <c r="I57" s="124">
        <f>+'Invoer exploitatie'!I34/365*I19*(1+$D$5)</f>
        <v>0</v>
      </c>
      <c r="J57" s="124">
        <f>+'Invoer exploitatie'!J34/365*J19*(1+$D$5)</f>
        <v>0</v>
      </c>
    </row>
    <row r="58" spans="1:12" ht="12" customHeight="1" x14ac:dyDescent="0.25">
      <c r="A58" s="2" t="s">
        <v>169</v>
      </c>
      <c r="B58" s="123"/>
      <c r="C58" s="123"/>
      <c r="D58" s="123"/>
      <c r="E58" s="116">
        <f t="shared" ref="E58:J59" si="24">D58</f>
        <v>0</v>
      </c>
      <c r="F58" s="116">
        <f t="shared" si="24"/>
        <v>0</v>
      </c>
      <c r="G58" s="116">
        <f t="shared" si="24"/>
        <v>0</v>
      </c>
      <c r="H58" s="116">
        <f t="shared" si="24"/>
        <v>0</v>
      </c>
      <c r="I58" s="116">
        <f t="shared" si="24"/>
        <v>0</v>
      </c>
      <c r="J58" s="116">
        <f t="shared" si="24"/>
        <v>0</v>
      </c>
    </row>
    <row r="59" spans="1:12" ht="12" customHeight="1" x14ac:dyDescent="0.25">
      <c r="A59" s="2" t="s">
        <v>170</v>
      </c>
      <c r="B59" s="123"/>
      <c r="C59" s="123"/>
      <c r="D59" s="123"/>
      <c r="E59" s="116">
        <f t="shared" si="24"/>
        <v>0</v>
      </c>
      <c r="F59" s="116">
        <f t="shared" si="24"/>
        <v>0</v>
      </c>
      <c r="G59" s="116">
        <f t="shared" si="24"/>
        <v>0</v>
      </c>
      <c r="H59" s="116">
        <f t="shared" si="24"/>
        <v>0</v>
      </c>
      <c r="I59" s="116">
        <f t="shared" si="24"/>
        <v>0</v>
      </c>
      <c r="J59" s="116">
        <f t="shared" si="24"/>
        <v>0</v>
      </c>
    </row>
    <row r="60" spans="1:12" s="34" customFormat="1" ht="12" customHeight="1" x14ac:dyDescent="0.3">
      <c r="A60" s="98" t="s">
        <v>183</v>
      </c>
      <c r="B60" s="131"/>
      <c r="C60" s="131"/>
      <c r="D60" s="131"/>
      <c r="E60" s="115">
        <v>0</v>
      </c>
      <c r="F60" s="115">
        <v>0</v>
      </c>
      <c r="G60" s="115">
        <v>0</v>
      </c>
      <c r="H60" s="115">
        <v>0</v>
      </c>
      <c r="I60" s="115">
        <v>0</v>
      </c>
      <c r="J60" s="115">
        <v>0</v>
      </c>
    </row>
    <row r="61" spans="1:12" s="34" customFormat="1" ht="12" customHeight="1" x14ac:dyDescent="0.3">
      <c r="A61" s="98" t="s">
        <v>184</v>
      </c>
      <c r="B61" s="131"/>
      <c r="C61" s="131"/>
      <c r="D61" s="131"/>
      <c r="E61" s="115">
        <f t="shared" ref="E61:J61" si="25">IF(E74&gt;=0,E74,0)</f>
        <v>0</v>
      </c>
      <c r="F61" s="115">
        <f t="shared" si="25"/>
        <v>0</v>
      </c>
      <c r="G61" s="115">
        <f t="shared" si="25"/>
        <v>0</v>
      </c>
      <c r="H61" s="115">
        <f t="shared" si="25"/>
        <v>0</v>
      </c>
      <c r="I61" s="115">
        <f t="shared" si="25"/>
        <v>0</v>
      </c>
      <c r="J61" s="115">
        <f t="shared" si="25"/>
        <v>0</v>
      </c>
    </row>
    <row r="62" spans="1:12" s="34" customFormat="1" ht="12" customHeight="1" x14ac:dyDescent="0.3">
      <c r="A62" s="98" t="s">
        <v>185</v>
      </c>
      <c r="B62" s="131"/>
      <c r="C62" s="131"/>
      <c r="D62" s="131"/>
      <c r="E62" s="115">
        <f>IF('Invoer exploitatie'!D$37=0,0,D62/'Invoer exploitatie'!D$37*'Invoer exploitatie'!E$37)</f>
        <v>0</v>
      </c>
      <c r="F62" s="115">
        <f>IF('Invoer exploitatie'!E37=0,0,E62/'Invoer exploitatie'!E37*'Invoer exploitatie'!F37)</f>
        <v>0</v>
      </c>
      <c r="G62" s="115">
        <f>IF('Invoer exploitatie'!F37=0,0,F62/'Invoer exploitatie'!F37*'Invoer exploitatie'!G37)</f>
        <v>0</v>
      </c>
      <c r="H62" s="115">
        <f>IF('Invoer exploitatie'!G37=0,0,G62/'Invoer exploitatie'!G37*'Invoer exploitatie'!H37)</f>
        <v>0</v>
      </c>
      <c r="I62" s="115">
        <f>IF('Invoer exploitatie'!H37=0,0,H62/'Invoer exploitatie'!H37*'Invoer exploitatie'!I37)</f>
        <v>0</v>
      </c>
      <c r="J62" s="115">
        <f>IF('Invoer exploitatie'!I37=0,0,I62/'Invoer exploitatie'!I37*'Invoer exploitatie'!J37)</f>
        <v>0</v>
      </c>
    </row>
    <row r="63" spans="1:12" s="34" customFormat="1" ht="12" customHeight="1" x14ac:dyDescent="0.3">
      <c r="A63" s="98" t="s">
        <v>186</v>
      </c>
      <c r="B63" s="132"/>
      <c r="C63" s="132"/>
      <c r="D63" s="132"/>
      <c r="E63" s="145">
        <f>IF('Invoer exploitatie'!D$37=0,0,D63/'Invoer exploitatie'!D$37*'Invoer exploitatie'!E$37)</f>
        <v>0</v>
      </c>
      <c r="F63" s="145">
        <f>IF('Invoer exploitatie'!E$37=0,0,E63/'Invoer exploitatie'!E$37*'Invoer exploitatie'!F$37)</f>
        <v>0</v>
      </c>
      <c r="G63" s="145">
        <f>IF('Invoer exploitatie'!F$37=0,0,F63/'Invoer exploitatie'!F$37*'Invoer exploitatie'!G$37)</f>
        <v>0</v>
      </c>
      <c r="H63" s="145">
        <f>IF('Invoer exploitatie'!G$37=0,0,G63/'Invoer exploitatie'!G$37*'Invoer exploitatie'!H$37)</f>
        <v>0</v>
      </c>
      <c r="I63" s="145">
        <f>IF('Invoer exploitatie'!H$37=0,0,H63/'Invoer exploitatie'!H$37*'Invoer exploitatie'!I$37)</f>
        <v>0</v>
      </c>
      <c r="J63" s="145">
        <f>IF('Invoer exploitatie'!I$37=0,0,I63/'Invoer exploitatie'!I$37*'Invoer exploitatie'!J$37)</f>
        <v>0</v>
      </c>
    </row>
    <row r="64" spans="1:12" ht="12" customHeight="1" x14ac:dyDescent="0.25">
      <c r="A64" s="2" t="s">
        <v>187</v>
      </c>
      <c r="B64" s="122">
        <f>SUM(B60:B63)</f>
        <v>0</v>
      </c>
      <c r="C64" s="122">
        <f t="shared" ref="C64:J64" si="26">SUM(C60:C63)</f>
        <v>0</v>
      </c>
      <c r="D64" s="122">
        <f t="shared" si="26"/>
        <v>0</v>
      </c>
      <c r="E64" s="122">
        <f t="shared" si="26"/>
        <v>0</v>
      </c>
      <c r="F64" s="122">
        <f t="shared" si="26"/>
        <v>0</v>
      </c>
      <c r="G64" s="122">
        <f t="shared" si="26"/>
        <v>0</v>
      </c>
      <c r="H64" s="122">
        <f t="shared" si="26"/>
        <v>0</v>
      </c>
      <c r="I64" s="122">
        <f t="shared" si="26"/>
        <v>0</v>
      </c>
      <c r="J64" s="122">
        <f t="shared" si="26"/>
        <v>0</v>
      </c>
    </row>
    <row r="65" spans="1:10" ht="12" customHeight="1" x14ac:dyDescent="0.25">
      <c r="A65" s="2" t="s">
        <v>188</v>
      </c>
      <c r="B65" s="123"/>
      <c r="C65" s="123"/>
      <c r="D65" s="123"/>
      <c r="E65" s="122">
        <f t="shared" ref="E65:J66" si="27">D65*(1+inflatie)</f>
        <v>0</v>
      </c>
      <c r="F65" s="122">
        <f t="shared" si="27"/>
        <v>0</v>
      </c>
      <c r="G65" s="122">
        <f t="shared" si="27"/>
        <v>0</v>
      </c>
      <c r="H65" s="122">
        <f t="shared" si="27"/>
        <v>0</v>
      </c>
      <c r="I65" s="122">
        <f t="shared" si="27"/>
        <v>0</v>
      </c>
      <c r="J65" s="122">
        <f t="shared" si="27"/>
        <v>0</v>
      </c>
    </row>
    <row r="66" spans="1:10" ht="12" customHeight="1" x14ac:dyDescent="0.25">
      <c r="A66" s="2" t="s">
        <v>189</v>
      </c>
      <c r="B66" s="123"/>
      <c r="C66" s="123"/>
      <c r="D66" s="123"/>
      <c r="E66" s="122">
        <f t="shared" si="27"/>
        <v>0</v>
      </c>
      <c r="F66" s="122">
        <f t="shared" si="27"/>
        <v>0</v>
      </c>
      <c r="G66" s="122">
        <f t="shared" si="27"/>
        <v>0</v>
      </c>
      <c r="H66" s="122">
        <f t="shared" si="27"/>
        <v>0</v>
      </c>
      <c r="I66" s="122">
        <f t="shared" si="27"/>
        <v>0</v>
      </c>
      <c r="J66" s="122">
        <f t="shared" si="27"/>
        <v>0</v>
      </c>
    </row>
    <row r="67" spans="1:10" ht="12" customHeight="1" x14ac:dyDescent="0.25">
      <c r="A67" s="2" t="s">
        <v>190</v>
      </c>
      <c r="B67" s="133"/>
      <c r="C67" s="133"/>
      <c r="D67" s="133"/>
      <c r="E67" s="134">
        <f t="shared" ref="E67:J67" si="28">D67*(1+inflatie)</f>
        <v>0</v>
      </c>
      <c r="F67" s="134">
        <f t="shared" si="28"/>
        <v>0</v>
      </c>
      <c r="G67" s="134">
        <f t="shared" si="28"/>
        <v>0</v>
      </c>
      <c r="H67" s="134">
        <f t="shared" si="28"/>
        <v>0</v>
      </c>
      <c r="I67" s="134">
        <f t="shared" si="28"/>
        <v>0</v>
      </c>
      <c r="J67" s="134">
        <f t="shared" si="28"/>
        <v>0</v>
      </c>
    </row>
    <row r="68" spans="1:10" s="87" customFormat="1" ht="12" customHeight="1" x14ac:dyDescent="0.25">
      <c r="A68" s="87" t="s">
        <v>191</v>
      </c>
      <c r="B68" s="128">
        <f>SUM(B52:B59)+SUM(B64:B67)</f>
        <v>0</v>
      </c>
      <c r="C68" s="128">
        <f>SUM(C52:C59)+SUM(C64:C67)</f>
        <v>0</v>
      </c>
      <c r="D68" s="128">
        <f>SUM(D52:D59)+SUM(D64:D67)</f>
        <v>0</v>
      </c>
      <c r="E68" s="128">
        <f t="shared" ref="E68:J68" si="29">SUM(E52:E59)+SUM(E64:E67)</f>
        <v>0</v>
      </c>
      <c r="F68" s="128">
        <f t="shared" si="29"/>
        <v>0</v>
      </c>
      <c r="G68" s="128">
        <f t="shared" si="29"/>
        <v>0</v>
      </c>
      <c r="H68" s="128">
        <f t="shared" si="29"/>
        <v>0</v>
      </c>
      <c r="I68" s="128">
        <f t="shared" si="29"/>
        <v>0</v>
      </c>
      <c r="J68" s="128">
        <f t="shared" si="29"/>
        <v>0</v>
      </c>
    </row>
    <row r="69" spans="1:10" ht="12" customHeight="1" x14ac:dyDescent="0.3">
      <c r="B69" s="135" t="str">
        <f>IF(B50&lt;&gt;B68,"verschil","")</f>
        <v/>
      </c>
      <c r="C69" s="135" t="str">
        <f>IF(C50&lt;&gt;C68,"verschil","")</f>
        <v/>
      </c>
      <c r="D69" s="135" t="str">
        <f>IF(D50&lt;&gt;D68,"verschil","")</f>
        <v/>
      </c>
      <c r="E69" s="135" t="str">
        <f t="shared" ref="E69:J69" si="30">IF(E50&lt;&gt;E68,"verschil","")</f>
        <v/>
      </c>
      <c r="F69" s="135" t="str">
        <f t="shared" si="30"/>
        <v/>
      </c>
      <c r="G69" s="135" t="str">
        <f t="shared" si="30"/>
        <v/>
      </c>
      <c r="H69" s="135" t="str">
        <f t="shared" si="30"/>
        <v/>
      </c>
      <c r="I69" s="135" t="str">
        <f t="shared" si="30"/>
        <v/>
      </c>
      <c r="J69" s="135" t="str">
        <f t="shared" si="30"/>
        <v/>
      </c>
    </row>
    <row r="70" spans="1:10" ht="12" customHeight="1" x14ac:dyDescent="0.25">
      <c r="A70" s="2" t="s">
        <v>192</v>
      </c>
      <c r="B70" s="124">
        <f t="shared" ref="B70:J70" si="31">SUM(B40:B42)+SUM(B45:B48)-B57-SUM(B64:B67)</f>
        <v>0</v>
      </c>
      <c r="C70" s="124">
        <f t="shared" si="31"/>
        <v>0</v>
      </c>
      <c r="D70" s="124">
        <f t="shared" si="31"/>
        <v>0</v>
      </c>
      <c r="E70" s="124">
        <f t="shared" si="31"/>
        <v>0</v>
      </c>
      <c r="F70" s="124">
        <f t="shared" si="31"/>
        <v>0</v>
      </c>
      <c r="G70" s="124">
        <f t="shared" si="31"/>
        <v>0</v>
      </c>
      <c r="H70" s="124">
        <f t="shared" si="31"/>
        <v>0</v>
      </c>
      <c r="I70" s="124">
        <f t="shared" si="31"/>
        <v>0</v>
      </c>
      <c r="J70" s="124">
        <f t="shared" si="31"/>
        <v>0</v>
      </c>
    </row>
    <row r="71" spans="1:10" ht="12" customHeight="1" x14ac:dyDescent="0.25">
      <c r="A71" s="2" t="s">
        <v>193</v>
      </c>
      <c r="B71" s="122"/>
      <c r="C71" s="122">
        <f>+B70-C70</f>
        <v>0</v>
      </c>
      <c r="D71" s="122">
        <f t="shared" ref="D71:J71" si="32">+C70-D70</f>
        <v>0</v>
      </c>
      <c r="E71" s="122">
        <f t="shared" si="32"/>
        <v>0</v>
      </c>
      <c r="F71" s="122">
        <f t="shared" si="32"/>
        <v>0</v>
      </c>
      <c r="G71" s="122">
        <f t="shared" si="32"/>
        <v>0</v>
      </c>
      <c r="H71" s="122">
        <f t="shared" si="32"/>
        <v>0</v>
      </c>
      <c r="I71" s="122">
        <f t="shared" si="32"/>
        <v>0</v>
      </c>
      <c r="J71" s="122">
        <f t="shared" si="32"/>
        <v>0</v>
      </c>
    </row>
    <row r="72" spans="1:10" ht="12" customHeight="1" x14ac:dyDescent="0.25">
      <c r="B72" s="136"/>
      <c r="C72" s="136"/>
      <c r="D72" s="136"/>
      <c r="E72" s="136"/>
      <c r="F72" s="136"/>
      <c r="G72" s="136"/>
      <c r="H72" s="136"/>
      <c r="I72" s="136"/>
      <c r="J72" s="136"/>
    </row>
    <row r="73" spans="1:10" ht="12" customHeight="1" x14ac:dyDescent="0.3">
      <c r="A73" s="34" t="s">
        <v>194</v>
      </c>
      <c r="B73" s="112"/>
      <c r="C73" s="112"/>
      <c r="D73" s="112"/>
      <c r="E73" s="136"/>
      <c r="F73" s="136"/>
      <c r="G73" s="136"/>
      <c r="H73" s="136"/>
      <c r="I73" s="136"/>
      <c r="J73" s="136"/>
    </row>
    <row r="74" spans="1:10" ht="12" customHeight="1" x14ac:dyDescent="0.3">
      <c r="A74" s="99" t="s">
        <v>195</v>
      </c>
      <c r="B74" s="137"/>
      <c r="C74" s="137"/>
      <c r="D74" s="137"/>
      <c r="E74" s="137">
        <f>('Invoer exploitatie'!E26-'Invoer exploitatie'!E34-SUM('Invoer exploitatie'!E43:E46)-'Invoer exploitatie'!E54-'Invoer exploitatie'!E60-'Invoer exploitatie'!E66-'Invoer exploitatie'!E74-E27-E30-E33-E36)*$D$5/E75</f>
        <v>0</v>
      </c>
      <c r="F74" s="137">
        <f>('Invoer exploitatie'!F26-'Invoer exploitatie'!F34-SUM('Invoer exploitatie'!F43:F46)-'Invoer exploitatie'!F54-'Invoer exploitatie'!F60-'Invoer exploitatie'!F66-'Invoer exploitatie'!F74-F27-F30-F33-F36)*$D$5/F75</f>
        <v>0</v>
      </c>
      <c r="G74" s="137">
        <f>('Invoer exploitatie'!G26-'Invoer exploitatie'!G34-SUM('Invoer exploitatie'!G43:G46)-'Invoer exploitatie'!G54-'Invoer exploitatie'!G60-'Invoer exploitatie'!G66-'Invoer exploitatie'!G74-G27-G30-G33-G36)*$D$5/G75</f>
        <v>0</v>
      </c>
      <c r="H74" s="137">
        <f>('Invoer exploitatie'!H26-'Invoer exploitatie'!H34-SUM('Invoer exploitatie'!H43:H46)-'Invoer exploitatie'!H54-'Invoer exploitatie'!H60-'Invoer exploitatie'!H66-'Invoer exploitatie'!H74-H27-H30-H33-H36)*$D$5/H75</f>
        <v>0</v>
      </c>
      <c r="I74" s="137">
        <f>('Invoer exploitatie'!I26-'Invoer exploitatie'!I34-SUM('Invoer exploitatie'!I43:I46)-'Invoer exploitatie'!I54-'Invoer exploitatie'!I60-'Invoer exploitatie'!I66-'Invoer exploitatie'!I74-I27-I30-I33-I36)*$D$5/I75</f>
        <v>0</v>
      </c>
      <c r="J74" s="137">
        <f>('Invoer exploitatie'!J26-'Invoer exploitatie'!J34-SUM('Invoer exploitatie'!J43:J46)-'Invoer exploitatie'!J54-'Invoer exploitatie'!J60-'Invoer exploitatie'!J66-'Invoer exploitatie'!J74-J27-J30-J33-J36)*$D$5/J75</f>
        <v>0</v>
      </c>
    </row>
    <row r="75" spans="1:10" ht="12" customHeight="1" x14ac:dyDescent="0.3">
      <c r="A75" s="99" t="s">
        <v>196</v>
      </c>
      <c r="B75" s="103"/>
      <c r="C75" s="103"/>
      <c r="D75" s="103"/>
      <c r="E75" s="94">
        <v>12</v>
      </c>
      <c r="F75" s="94">
        <f>E75</f>
        <v>12</v>
      </c>
      <c r="G75" s="94">
        <f>F75</f>
        <v>12</v>
      </c>
      <c r="H75" s="94">
        <f>G75</f>
        <v>12</v>
      </c>
      <c r="I75" s="94">
        <f>H75</f>
        <v>12</v>
      </c>
      <c r="J75" s="94">
        <f>I75</f>
        <v>12</v>
      </c>
    </row>
    <row r="76" spans="1:10" ht="12" customHeight="1" x14ac:dyDescent="0.25"/>
    <row r="77" spans="1:10" ht="12" customHeight="1" x14ac:dyDescent="0.25"/>
    <row r="78" spans="1:10" ht="12" customHeight="1" x14ac:dyDescent="0.25"/>
    <row r="79" spans="1:10" ht="12" customHeight="1" x14ac:dyDescent="0.25"/>
    <row r="80" spans="1:1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102" spans="11:256" hidden="1" x14ac:dyDescent="0.25">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row>
    <row r="112" spans="11:256" hidden="1" x14ac:dyDescent="0.25">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c r="DG112" s="91"/>
      <c r="DH112" s="91"/>
      <c r="DI112" s="91"/>
      <c r="DJ112" s="91"/>
      <c r="DK112" s="91"/>
      <c r="DL112" s="91"/>
      <c r="DM112" s="91"/>
      <c r="DN112" s="91"/>
      <c r="DO112" s="91"/>
      <c r="DP112" s="91"/>
      <c r="DQ112" s="91"/>
      <c r="DR112" s="91"/>
      <c r="DS112" s="91"/>
      <c r="DT112" s="91"/>
      <c r="DU112" s="91"/>
      <c r="DV112" s="91"/>
      <c r="DW112" s="91"/>
      <c r="DX112" s="91"/>
      <c r="DY112" s="91"/>
      <c r="DZ112" s="91"/>
      <c r="EA112" s="91"/>
      <c r="EB112" s="91"/>
      <c r="EC112" s="91"/>
      <c r="ED112" s="91"/>
      <c r="EE112" s="91"/>
      <c r="EF112" s="91"/>
      <c r="EG112" s="91"/>
      <c r="EH112" s="91"/>
      <c r="EI112" s="91"/>
      <c r="EJ112" s="91"/>
      <c r="EK112" s="91"/>
      <c r="EL112" s="91"/>
      <c r="EM112" s="91"/>
      <c r="EN112" s="91"/>
      <c r="EO112" s="91"/>
      <c r="EP112" s="91"/>
      <c r="EQ112" s="91"/>
      <c r="ER112" s="91"/>
      <c r="ES112" s="91"/>
      <c r="ET112" s="91"/>
      <c r="EU112" s="91"/>
      <c r="EV112" s="91"/>
      <c r="EW112" s="91"/>
      <c r="EX112" s="91"/>
      <c r="EY112" s="91"/>
      <c r="EZ112" s="91"/>
      <c r="FA112" s="91"/>
      <c r="FB112" s="91"/>
      <c r="FC112" s="91"/>
      <c r="FD112" s="91"/>
      <c r="FE112" s="91"/>
      <c r="FF112" s="91"/>
      <c r="FG112" s="91"/>
      <c r="FH112" s="91"/>
      <c r="FI112" s="91"/>
      <c r="FJ112" s="91"/>
      <c r="FK112" s="91"/>
      <c r="FL112" s="91"/>
      <c r="FM112" s="91"/>
      <c r="FN112" s="91"/>
      <c r="FO112" s="91"/>
      <c r="FP112" s="91"/>
      <c r="FQ112" s="91"/>
      <c r="FR112" s="91"/>
      <c r="FS112" s="91"/>
      <c r="FT112" s="91"/>
      <c r="FU112" s="91"/>
      <c r="FV112" s="91"/>
      <c r="FW112" s="91"/>
      <c r="FX112" s="91"/>
      <c r="FY112" s="91"/>
      <c r="FZ112" s="91"/>
      <c r="GA112" s="91"/>
      <c r="GB112" s="91"/>
      <c r="GC112" s="91"/>
      <c r="GD112" s="91"/>
      <c r="GE112" s="91"/>
      <c r="GF112" s="91"/>
      <c r="GG112" s="91"/>
      <c r="GH112" s="91"/>
      <c r="GI112" s="91"/>
      <c r="GJ112" s="91"/>
      <c r="GK112" s="91"/>
      <c r="GL112" s="91"/>
      <c r="GM112" s="91"/>
      <c r="GN112" s="91"/>
      <c r="GO112" s="91"/>
      <c r="GP112" s="91"/>
      <c r="GQ112" s="91"/>
      <c r="GR112" s="91"/>
      <c r="GS112" s="91"/>
      <c r="GT112" s="91"/>
      <c r="GU112" s="91"/>
      <c r="GV112" s="91"/>
      <c r="GW112" s="91"/>
      <c r="GX112" s="91"/>
      <c r="GY112" s="91"/>
      <c r="GZ112" s="91"/>
      <c r="HA112" s="91"/>
      <c r="HB112" s="91"/>
      <c r="HC112" s="91"/>
      <c r="HD112" s="91"/>
      <c r="HE112" s="91"/>
      <c r="HF112" s="91"/>
      <c r="HG112" s="91"/>
      <c r="HH112" s="91"/>
      <c r="HI112" s="91"/>
      <c r="HJ112" s="91"/>
      <c r="HK112" s="91"/>
      <c r="HL112" s="91"/>
      <c r="HM112" s="91"/>
      <c r="HN112" s="91"/>
      <c r="HO112" s="91"/>
      <c r="HP112" s="91"/>
      <c r="HQ112" s="91"/>
      <c r="HR112" s="91"/>
      <c r="HS112" s="91"/>
      <c r="HT112" s="91"/>
      <c r="HU112" s="91"/>
      <c r="HV112" s="91"/>
      <c r="HW112" s="91"/>
      <c r="HX112" s="91"/>
      <c r="HY112" s="91"/>
      <c r="HZ112" s="91"/>
      <c r="IA112" s="91"/>
      <c r="IB112" s="91"/>
      <c r="IC112" s="91"/>
      <c r="ID112" s="91"/>
      <c r="IE112" s="91"/>
      <c r="IF112" s="91"/>
      <c r="IG112" s="91"/>
      <c r="IH112" s="91"/>
      <c r="II112" s="91"/>
      <c r="IJ112" s="91"/>
      <c r="IK112" s="91"/>
      <c r="IL112" s="91"/>
      <c r="IM112" s="91"/>
      <c r="IN112" s="91"/>
      <c r="IO112" s="91"/>
      <c r="IP112" s="91"/>
      <c r="IQ112" s="91"/>
      <c r="IR112" s="91"/>
      <c r="IS112" s="91"/>
      <c r="IT112" s="91"/>
      <c r="IU112" s="91"/>
      <c r="IV112" s="91"/>
    </row>
    <row r="113" spans="11:256" hidden="1" x14ac:dyDescent="0.25">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1"/>
      <c r="BJ113" s="91"/>
      <c r="BK113" s="91"/>
      <c r="BL113" s="91"/>
      <c r="BM113" s="91"/>
      <c r="BN113" s="91"/>
      <c r="BO113" s="91"/>
      <c r="BP113" s="91"/>
      <c r="BQ113" s="91"/>
      <c r="BR113" s="91"/>
      <c r="BS113" s="91"/>
      <c r="BT113" s="91"/>
      <c r="BU113" s="91"/>
      <c r="BV113" s="91"/>
      <c r="BW113" s="91"/>
      <c r="BX113" s="91"/>
      <c r="BY113" s="91"/>
      <c r="BZ113" s="91"/>
      <c r="CA113" s="91"/>
      <c r="CB113" s="91"/>
      <c r="CC113" s="91"/>
      <c r="CD113" s="91"/>
      <c r="CE113" s="91"/>
      <c r="CF113" s="91"/>
      <c r="CG113" s="91"/>
      <c r="CH113" s="91"/>
      <c r="CI113" s="91"/>
      <c r="CJ113" s="91"/>
      <c r="CK113" s="91"/>
      <c r="CL113" s="91"/>
      <c r="CM113" s="91"/>
      <c r="CN113" s="91"/>
      <c r="CO113" s="91"/>
      <c r="CP113" s="91"/>
      <c r="CQ113" s="91"/>
      <c r="CR113" s="91"/>
      <c r="CS113" s="91"/>
      <c r="CT113" s="91"/>
      <c r="CU113" s="91"/>
      <c r="CV113" s="91"/>
      <c r="CW113" s="91"/>
      <c r="CX113" s="91"/>
      <c r="CY113" s="91"/>
      <c r="CZ113" s="91"/>
      <c r="DA113" s="91"/>
      <c r="DB113" s="91"/>
      <c r="DC113" s="91"/>
      <c r="DD113" s="91"/>
      <c r="DE113" s="91"/>
      <c r="DF113" s="91"/>
      <c r="DG113" s="91"/>
      <c r="DH113" s="91"/>
      <c r="DI113" s="91"/>
      <c r="DJ113" s="91"/>
      <c r="DK113" s="91"/>
      <c r="DL113" s="91"/>
      <c r="DM113" s="91"/>
      <c r="DN113" s="91"/>
      <c r="DO113" s="91"/>
      <c r="DP113" s="91"/>
      <c r="DQ113" s="91"/>
      <c r="DR113" s="91"/>
      <c r="DS113" s="91"/>
      <c r="DT113" s="91"/>
      <c r="DU113" s="91"/>
      <c r="DV113" s="91"/>
      <c r="DW113" s="91"/>
      <c r="DX113" s="91"/>
      <c r="DY113" s="91"/>
      <c r="DZ113" s="91"/>
      <c r="EA113" s="91"/>
      <c r="EB113" s="91"/>
      <c r="EC113" s="91"/>
      <c r="ED113" s="91"/>
      <c r="EE113" s="91"/>
      <c r="EF113" s="91"/>
      <c r="EG113" s="91"/>
      <c r="EH113" s="91"/>
      <c r="EI113" s="91"/>
      <c r="EJ113" s="91"/>
      <c r="EK113" s="91"/>
      <c r="EL113" s="91"/>
      <c r="EM113" s="91"/>
      <c r="EN113" s="91"/>
      <c r="EO113" s="91"/>
      <c r="EP113" s="91"/>
      <c r="EQ113" s="91"/>
      <c r="ER113" s="91"/>
      <c r="ES113" s="91"/>
      <c r="ET113" s="91"/>
      <c r="EU113" s="91"/>
      <c r="EV113" s="91"/>
      <c r="EW113" s="91"/>
      <c r="EX113" s="91"/>
      <c r="EY113" s="91"/>
      <c r="EZ113" s="91"/>
      <c r="FA113" s="91"/>
      <c r="FB113" s="91"/>
      <c r="FC113" s="91"/>
      <c r="FD113" s="91"/>
      <c r="FE113" s="91"/>
      <c r="FF113" s="91"/>
      <c r="FG113" s="91"/>
      <c r="FH113" s="91"/>
      <c r="FI113" s="91"/>
      <c r="FJ113" s="91"/>
      <c r="FK113" s="91"/>
      <c r="FL113" s="91"/>
      <c r="FM113" s="91"/>
      <c r="FN113" s="91"/>
      <c r="FO113" s="91"/>
      <c r="FP113" s="91"/>
      <c r="FQ113" s="91"/>
      <c r="FR113" s="91"/>
      <c r="FS113" s="91"/>
      <c r="FT113" s="91"/>
      <c r="FU113" s="91"/>
      <c r="FV113" s="91"/>
      <c r="FW113" s="91"/>
      <c r="FX113" s="91"/>
      <c r="FY113" s="91"/>
      <c r="FZ113" s="91"/>
      <c r="GA113" s="91"/>
      <c r="GB113" s="91"/>
      <c r="GC113" s="91"/>
      <c r="GD113" s="91"/>
      <c r="GE113" s="91"/>
      <c r="GF113" s="91"/>
      <c r="GG113" s="91"/>
      <c r="GH113" s="91"/>
      <c r="GI113" s="91"/>
      <c r="GJ113" s="91"/>
      <c r="GK113" s="91"/>
      <c r="GL113" s="91"/>
      <c r="GM113" s="91"/>
      <c r="GN113" s="91"/>
      <c r="GO113" s="91"/>
      <c r="GP113" s="91"/>
      <c r="GQ113" s="91"/>
      <c r="GR113" s="91"/>
      <c r="GS113" s="91"/>
      <c r="GT113" s="91"/>
      <c r="GU113" s="91"/>
      <c r="GV113" s="91"/>
      <c r="GW113" s="91"/>
      <c r="GX113" s="91"/>
      <c r="GY113" s="91"/>
      <c r="GZ113" s="91"/>
      <c r="HA113" s="91"/>
      <c r="HB113" s="91"/>
      <c r="HC113" s="91"/>
      <c r="HD113" s="91"/>
      <c r="HE113" s="91"/>
      <c r="HF113" s="91"/>
      <c r="HG113" s="91"/>
      <c r="HH113" s="91"/>
      <c r="HI113" s="91"/>
      <c r="HJ113" s="91"/>
      <c r="HK113" s="91"/>
      <c r="HL113" s="91"/>
      <c r="HM113" s="91"/>
      <c r="HN113" s="91"/>
      <c r="HO113" s="91"/>
      <c r="HP113" s="91"/>
      <c r="HQ113" s="91"/>
      <c r="HR113" s="91"/>
      <c r="HS113" s="91"/>
      <c r="HT113" s="91"/>
      <c r="HU113" s="91"/>
      <c r="HV113" s="91"/>
      <c r="HW113" s="91"/>
      <c r="HX113" s="91"/>
      <c r="HY113" s="91"/>
      <c r="HZ113" s="91"/>
      <c r="IA113" s="91"/>
      <c r="IB113" s="91"/>
      <c r="IC113" s="91"/>
      <c r="ID113" s="91"/>
      <c r="IE113" s="91"/>
      <c r="IF113" s="91"/>
      <c r="IG113" s="91"/>
      <c r="IH113" s="91"/>
      <c r="II113" s="91"/>
      <c r="IJ113" s="91"/>
      <c r="IK113" s="91"/>
      <c r="IL113" s="91"/>
      <c r="IM113" s="91"/>
      <c r="IN113" s="91"/>
      <c r="IO113" s="91"/>
      <c r="IP113" s="91"/>
      <c r="IQ113" s="91"/>
      <c r="IR113" s="91"/>
      <c r="IS113" s="91"/>
      <c r="IT113" s="91"/>
      <c r="IU113" s="91"/>
      <c r="IV113" s="91"/>
    </row>
  </sheetData>
  <sheetProtection sheet="1" objects="1" scenarios="1"/>
  <dataValidations count="1">
    <dataValidation type="list" allowBlank="1" showInputMessage="1" showErrorMessage="1" sqref="D4" xr:uid="{00000000-0002-0000-0100-000000000000}">
      <formula1>"x 1,x 1.000"</formula1>
    </dataValidation>
  </dataValidations>
  <pageMargins left="0.70866141732283472" right="0.70866141732283472" top="0.74803149606299213" bottom="0.74803149606299213" header="0.31496062992125984" footer="0.31496062992125984"/>
  <pageSetup paperSize="9" scale="69" orientation="portrait" r:id="rId1"/>
  <customProperties>
    <customPr name="OrphanNamesChecke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IV114"/>
  <sheetViews>
    <sheetView showGridLines="0" zoomScale="115" zoomScaleNormal="115" zoomScaleSheetLayoutView="130" workbookViewId="0">
      <pane ySplit="19" topLeftCell="A20" activePane="bottomLeft" state="frozen"/>
      <selection pane="bottomLeft" activeCell="E3" sqref="E3"/>
    </sheetView>
  </sheetViews>
  <sheetFormatPr defaultColWidth="0" defaultRowHeight="10.3" zeroHeight="1" x14ac:dyDescent="0.25"/>
  <cols>
    <col min="1" max="1" width="35.69140625" style="26" bestFit="1" customWidth="1"/>
    <col min="2" max="10" width="8.84375" style="26" customWidth="1"/>
    <col min="11" max="11" width="2" style="26" customWidth="1"/>
    <col min="12" max="16384" width="0" style="26" hidden="1"/>
  </cols>
  <sheetData>
    <row r="1" spans="1:12" s="24" customFormat="1" ht="13.95" customHeight="1" x14ac:dyDescent="0.3">
      <c r="A1" s="25" t="s">
        <v>197</v>
      </c>
      <c r="B1" s="25"/>
      <c r="C1" s="25"/>
      <c r="D1" s="25"/>
      <c r="E1" s="88"/>
      <c r="F1" s="88"/>
      <c r="G1" s="88"/>
      <c r="H1" s="88"/>
      <c r="I1" s="88"/>
      <c r="J1" s="88"/>
      <c r="K1" s="88"/>
    </row>
    <row r="2" spans="1:12" ht="12" customHeight="1" x14ac:dyDescent="0.3">
      <c r="A2" s="3" t="s">
        <v>198</v>
      </c>
      <c r="B2" s="3">
        <f>C2-1</f>
        <v>2023</v>
      </c>
      <c r="C2" s="3">
        <f>D2-1</f>
        <v>2024</v>
      </c>
      <c r="D2" s="58">
        <f>'Invoer algemeen en balans'!D15</f>
        <v>2025</v>
      </c>
      <c r="E2" s="3">
        <f t="shared" ref="E2:J2" si="0">D2+1</f>
        <v>2026</v>
      </c>
      <c r="F2" s="3">
        <f t="shared" si="0"/>
        <v>2027</v>
      </c>
      <c r="G2" s="3">
        <f t="shared" si="0"/>
        <v>2028</v>
      </c>
      <c r="H2" s="3">
        <f t="shared" si="0"/>
        <v>2029</v>
      </c>
      <c r="I2" s="3">
        <f t="shared" si="0"/>
        <v>2030</v>
      </c>
      <c r="J2" s="3">
        <f t="shared" si="0"/>
        <v>2031</v>
      </c>
    </row>
    <row r="3" spans="1:12" ht="12" customHeight="1" x14ac:dyDescent="0.3">
      <c r="A3" s="2" t="s">
        <v>199</v>
      </c>
      <c r="B3" s="45"/>
      <c r="C3" s="45"/>
      <c r="D3" s="84"/>
      <c r="E3" s="80">
        <v>0.02</v>
      </c>
      <c r="F3" s="80">
        <v>0.02</v>
      </c>
      <c r="G3" s="80">
        <f>F3</f>
        <v>0.02</v>
      </c>
      <c r="H3" s="80">
        <f>G3</f>
        <v>0.02</v>
      </c>
      <c r="I3" s="80">
        <f>H3</f>
        <v>0.02</v>
      </c>
      <c r="J3" s="80">
        <f>I3</f>
        <v>0.02</v>
      </c>
    </row>
    <row r="4" spans="1:12" ht="12" customHeight="1" x14ac:dyDescent="0.3">
      <c r="A4" s="2"/>
      <c r="B4" s="45"/>
      <c r="C4" s="45"/>
      <c r="D4" s="84"/>
      <c r="E4" s="89"/>
      <c r="F4" s="89"/>
      <c r="G4" s="89"/>
      <c r="H4" s="89"/>
      <c r="I4" s="89"/>
      <c r="J4" s="89"/>
    </row>
    <row r="5" spans="1:12" ht="12" customHeight="1" x14ac:dyDescent="0.3">
      <c r="A5" s="45" t="str">
        <f>"Groei "&amp;A21</f>
        <v>Groei Omzetgroep 1</v>
      </c>
      <c r="B5" s="45"/>
      <c r="C5" s="90" t="str">
        <f>IF(B21=0,"",C21/B21-1)</f>
        <v/>
      </c>
      <c r="D5" s="90" t="str">
        <f>IF(C21=0,"",D21/C21-1)</f>
        <v/>
      </c>
      <c r="E5" s="85">
        <f t="shared" ref="E5:J9" si="1">E$3</f>
        <v>0.02</v>
      </c>
      <c r="F5" s="85">
        <f t="shared" si="1"/>
        <v>0.02</v>
      </c>
      <c r="G5" s="85">
        <f t="shared" si="1"/>
        <v>0.02</v>
      </c>
      <c r="H5" s="85">
        <f t="shared" si="1"/>
        <v>0.02</v>
      </c>
      <c r="I5" s="85">
        <f t="shared" si="1"/>
        <v>0.02</v>
      </c>
      <c r="J5" s="85">
        <f t="shared" si="1"/>
        <v>0.02</v>
      </c>
    </row>
    <row r="6" spans="1:12" ht="12" customHeight="1" x14ac:dyDescent="0.3">
      <c r="A6" s="45" t="str">
        <f>"Groei "&amp;A22</f>
        <v>Groei Omzetgroep 2</v>
      </c>
      <c r="B6" s="45"/>
      <c r="C6" s="90" t="str">
        <f t="shared" ref="C6:D9" si="2">IF(C22=0,"",C22/B22-1)</f>
        <v/>
      </c>
      <c r="D6" s="90" t="str">
        <f t="shared" si="2"/>
        <v/>
      </c>
      <c r="E6" s="85">
        <f t="shared" si="1"/>
        <v>0.02</v>
      </c>
      <c r="F6" s="85">
        <f t="shared" si="1"/>
        <v>0.02</v>
      </c>
      <c r="G6" s="85">
        <f t="shared" si="1"/>
        <v>0.02</v>
      </c>
      <c r="H6" s="85">
        <f t="shared" si="1"/>
        <v>0.02</v>
      </c>
      <c r="I6" s="85">
        <f t="shared" si="1"/>
        <v>0.02</v>
      </c>
      <c r="J6" s="85">
        <f t="shared" si="1"/>
        <v>0.02</v>
      </c>
    </row>
    <row r="7" spans="1:12" ht="12" customHeight="1" x14ac:dyDescent="0.3">
      <c r="A7" s="45" t="str">
        <f>"Groei "&amp;A23</f>
        <v>Groei Omzetgroep 3</v>
      </c>
      <c r="B7" s="45"/>
      <c r="C7" s="90" t="str">
        <f t="shared" si="2"/>
        <v/>
      </c>
      <c r="D7" s="90" t="str">
        <f t="shared" si="2"/>
        <v/>
      </c>
      <c r="E7" s="85">
        <f t="shared" si="1"/>
        <v>0.02</v>
      </c>
      <c r="F7" s="85">
        <f t="shared" si="1"/>
        <v>0.02</v>
      </c>
      <c r="G7" s="85">
        <f t="shared" si="1"/>
        <v>0.02</v>
      </c>
      <c r="H7" s="85">
        <f t="shared" si="1"/>
        <v>0.02</v>
      </c>
      <c r="I7" s="85">
        <f t="shared" si="1"/>
        <v>0.02</v>
      </c>
      <c r="J7" s="85">
        <f t="shared" si="1"/>
        <v>0.02</v>
      </c>
    </row>
    <row r="8" spans="1:12" ht="12" customHeight="1" x14ac:dyDescent="0.3">
      <c r="A8" s="45" t="str">
        <f>"Groei "&amp;A24</f>
        <v>Groei Omzetgroep 4</v>
      </c>
      <c r="B8" s="45"/>
      <c r="C8" s="90" t="str">
        <f t="shared" si="2"/>
        <v/>
      </c>
      <c r="D8" s="90" t="str">
        <f t="shared" si="2"/>
        <v/>
      </c>
      <c r="E8" s="85">
        <f t="shared" si="1"/>
        <v>0.02</v>
      </c>
      <c r="F8" s="85">
        <f t="shared" si="1"/>
        <v>0.02</v>
      </c>
      <c r="G8" s="85">
        <f t="shared" si="1"/>
        <v>0.02</v>
      </c>
      <c r="H8" s="85">
        <f t="shared" si="1"/>
        <v>0.02</v>
      </c>
      <c r="I8" s="85">
        <f t="shared" si="1"/>
        <v>0.02</v>
      </c>
      <c r="J8" s="85">
        <f t="shared" si="1"/>
        <v>0.02</v>
      </c>
    </row>
    <row r="9" spans="1:12" ht="12" customHeight="1" x14ac:dyDescent="0.3">
      <c r="A9" s="45" t="str">
        <f>"Groei "&amp;A25</f>
        <v>Groei Omzetgroep 5</v>
      </c>
      <c r="B9" s="45"/>
      <c r="C9" s="90" t="str">
        <f t="shared" si="2"/>
        <v/>
      </c>
      <c r="D9" s="90" t="str">
        <f t="shared" si="2"/>
        <v/>
      </c>
      <c r="E9" s="85">
        <f t="shared" si="1"/>
        <v>0.02</v>
      </c>
      <c r="F9" s="85">
        <f t="shared" si="1"/>
        <v>0.02</v>
      </c>
      <c r="G9" s="85">
        <f t="shared" si="1"/>
        <v>0.02</v>
      </c>
      <c r="H9" s="85">
        <f t="shared" si="1"/>
        <v>0.02</v>
      </c>
      <c r="I9" s="85">
        <f t="shared" si="1"/>
        <v>0.02</v>
      </c>
      <c r="J9" s="85">
        <f t="shared" si="1"/>
        <v>0.02</v>
      </c>
    </row>
    <row r="10" spans="1:12" ht="12" customHeight="1" x14ac:dyDescent="0.25">
      <c r="A10" s="9" t="s">
        <v>200</v>
      </c>
      <c r="B10" s="9"/>
      <c r="C10" s="95" t="str">
        <f>IF(ISERROR(C26/B26-1),"",C26/B26-1)</f>
        <v/>
      </c>
      <c r="D10" s="95" t="str">
        <f>IF(ISERROR(D26/C26-1),"",D26/C26-1)</f>
        <v/>
      </c>
      <c r="E10" s="95" t="str">
        <f t="shared" ref="E10:J10" si="3">IF(ISERROR(E26/D26-1),"",E26/D26-1)</f>
        <v/>
      </c>
      <c r="F10" s="95" t="str">
        <f t="shared" si="3"/>
        <v/>
      </c>
      <c r="G10" s="95" t="str">
        <f t="shared" si="3"/>
        <v/>
      </c>
      <c r="H10" s="95" t="str">
        <f t="shared" si="3"/>
        <v/>
      </c>
      <c r="I10" s="95" t="str">
        <f t="shared" si="3"/>
        <v/>
      </c>
      <c r="J10" s="95" t="str">
        <f t="shared" si="3"/>
        <v/>
      </c>
    </row>
    <row r="11" spans="1:12" ht="12" customHeight="1" x14ac:dyDescent="0.3">
      <c r="A11" s="34" t="str">
        <f>"Brutomarge "&amp;A21</f>
        <v>Brutomarge Omzetgroep 1</v>
      </c>
      <c r="B11" s="86" t="str">
        <f t="shared" ref="B11:C14" si="4">IF(B21=0,"",1-(B27/B21))</f>
        <v/>
      </c>
      <c r="C11" s="86" t="str">
        <f t="shared" si="4"/>
        <v/>
      </c>
      <c r="D11" s="86" t="str">
        <f>IF(D21=0,"",IF(D27="","",1-(D27/D21)))</f>
        <v/>
      </c>
      <c r="E11" s="85" t="str">
        <f>IF(D11="","",D11)</f>
        <v/>
      </c>
      <c r="F11" s="85" t="str">
        <f t="shared" ref="F11:J15" si="5">+E11</f>
        <v/>
      </c>
      <c r="G11" s="85" t="str">
        <f t="shared" si="5"/>
        <v/>
      </c>
      <c r="H11" s="85" t="str">
        <f t="shared" si="5"/>
        <v/>
      </c>
      <c r="I11" s="85" t="str">
        <f t="shared" si="5"/>
        <v/>
      </c>
      <c r="J11" s="85" t="str">
        <f t="shared" si="5"/>
        <v/>
      </c>
    </row>
    <row r="12" spans="1:12" ht="12" customHeight="1" x14ac:dyDescent="0.3">
      <c r="A12" s="34" t="str">
        <f>"Brutomarge "&amp;A22</f>
        <v>Brutomarge Omzetgroep 2</v>
      </c>
      <c r="B12" s="86" t="str">
        <f t="shared" si="4"/>
        <v/>
      </c>
      <c r="C12" s="86" t="str">
        <f t="shared" si="4"/>
        <v/>
      </c>
      <c r="D12" s="86" t="str">
        <f>IF(D22=0,"",IF(D28="","",1-(D28/D22)))</f>
        <v/>
      </c>
      <c r="E12" s="85" t="str">
        <f>IF(D12="","",D12)</f>
        <v/>
      </c>
      <c r="F12" s="85" t="str">
        <f t="shared" si="5"/>
        <v/>
      </c>
      <c r="G12" s="85" t="str">
        <f t="shared" si="5"/>
        <v/>
      </c>
      <c r="H12" s="85" t="str">
        <f t="shared" si="5"/>
        <v/>
      </c>
      <c r="I12" s="85" t="str">
        <f t="shared" si="5"/>
        <v/>
      </c>
      <c r="J12" s="85" t="str">
        <f t="shared" si="5"/>
        <v/>
      </c>
      <c r="L12" s="92"/>
    </row>
    <row r="13" spans="1:12" ht="12" customHeight="1" x14ac:dyDescent="0.3">
      <c r="A13" s="34" t="str">
        <f>"Brutomarge "&amp;A23</f>
        <v>Brutomarge Omzetgroep 3</v>
      </c>
      <c r="B13" s="86" t="str">
        <f t="shared" si="4"/>
        <v/>
      </c>
      <c r="C13" s="86" t="str">
        <f t="shared" si="4"/>
        <v/>
      </c>
      <c r="D13" s="86" t="str">
        <f>IF(D23=0,"",IF(D29="","",1-(D29/D23)))</f>
        <v/>
      </c>
      <c r="E13" s="85" t="str">
        <f>IF(D13="","",D13)</f>
        <v/>
      </c>
      <c r="F13" s="85" t="str">
        <f t="shared" si="5"/>
        <v/>
      </c>
      <c r="G13" s="85" t="str">
        <f t="shared" si="5"/>
        <v/>
      </c>
      <c r="H13" s="85" t="str">
        <f t="shared" si="5"/>
        <v/>
      </c>
      <c r="I13" s="85" t="str">
        <f t="shared" si="5"/>
        <v/>
      </c>
      <c r="J13" s="85" t="str">
        <f t="shared" si="5"/>
        <v/>
      </c>
    </row>
    <row r="14" spans="1:12" ht="12" customHeight="1" x14ac:dyDescent="0.3">
      <c r="A14" s="34" t="str">
        <f>"Brutomarge "&amp;A24</f>
        <v>Brutomarge Omzetgroep 4</v>
      </c>
      <c r="B14" s="86" t="str">
        <f t="shared" si="4"/>
        <v/>
      </c>
      <c r="C14" s="86" t="str">
        <f t="shared" si="4"/>
        <v/>
      </c>
      <c r="D14" s="86" t="str">
        <f>IF(D24=0,"",IF(D30="","",1-(D30/D24)))</f>
        <v/>
      </c>
      <c r="E14" s="85" t="str">
        <f>IF(D14="","",D14)</f>
        <v/>
      </c>
      <c r="F14" s="85" t="str">
        <f t="shared" si="5"/>
        <v/>
      </c>
      <c r="G14" s="85" t="str">
        <f t="shared" si="5"/>
        <v/>
      </c>
      <c r="H14" s="85" t="str">
        <f t="shared" si="5"/>
        <v/>
      </c>
      <c r="I14" s="85" t="str">
        <f t="shared" si="5"/>
        <v/>
      </c>
      <c r="J14" s="85" t="str">
        <f t="shared" si="5"/>
        <v/>
      </c>
    </row>
    <row r="15" spans="1:12" ht="12" customHeight="1" x14ac:dyDescent="0.3">
      <c r="A15" s="34" t="str">
        <f>"Brutomarge "&amp;A25</f>
        <v>Brutomarge Omzetgroep 5</v>
      </c>
      <c r="B15" s="86" t="str">
        <f>IF(B25=0,"",1-(B32/B25))</f>
        <v/>
      </c>
      <c r="C15" s="86" t="str">
        <f>IF(C25=0,"",1-(C32/C25))</f>
        <v/>
      </c>
      <c r="D15" s="86" t="str">
        <f>IF(D25=0,"",IF(D31="","",1-(D31/D25)))</f>
        <v/>
      </c>
      <c r="E15" s="85" t="str">
        <f>IF(D15="","",D15)</f>
        <v/>
      </c>
      <c r="F15" s="85" t="str">
        <f t="shared" si="5"/>
        <v/>
      </c>
      <c r="G15" s="85" t="str">
        <f t="shared" si="5"/>
        <v/>
      </c>
      <c r="H15" s="85" t="str">
        <f t="shared" si="5"/>
        <v/>
      </c>
      <c r="I15" s="85" t="str">
        <f t="shared" si="5"/>
        <v/>
      </c>
      <c r="J15" s="85" t="str">
        <f t="shared" si="5"/>
        <v/>
      </c>
    </row>
    <row r="16" spans="1:12" ht="12" customHeight="1" x14ac:dyDescent="0.25">
      <c r="A16" s="87" t="s">
        <v>201</v>
      </c>
      <c r="B16" s="96">
        <f t="shared" ref="B16:J16" si="6">IF(B26=0,0,1-(B34/B26))</f>
        <v>0</v>
      </c>
      <c r="C16" s="96">
        <f t="shared" si="6"/>
        <v>0</v>
      </c>
      <c r="D16" s="96">
        <f t="shared" si="6"/>
        <v>0</v>
      </c>
      <c r="E16" s="96">
        <f t="shared" si="6"/>
        <v>0</v>
      </c>
      <c r="F16" s="96">
        <f t="shared" si="6"/>
        <v>0</v>
      </c>
      <c r="G16" s="96">
        <f t="shared" si="6"/>
        <v>0</v>
      </c>
      <c r="H16" s="96">
        <f t="shared" si="6"/>
        <v>0</v>
      </c>
      <c r="I16" s="96">
        <f t="shared" si="6"/>
        <v>0</v>
      </c>
      <c r="J16" s="96">
        <f t="shared" si="6"/>
        <v>0</v>
      </c>
    </row>
    <row r="17" spans="1:10" ht="12" customHeight="1" x14ac:dyDescent="0.25">
      <c r="A17" s="2" t="s">
        <v>202</v>
      </c>
      <c r="B17" s="81">
        <f t="shared" ref="B17:J17" si="7">IF(B26=0,0,B78/B26)</f>
        <v>0</v>
      </c>
      <c r="C17" s="81">
        <f t="shared" si="7"/>
        <v>0</v>
      </c>
      <c r="D17" s="81">
        <f t="shared" si="7"/>
        <v>0</v>
      </c>
      <c r="E17" s="81">
        <f t="shared" si="7"/>
        <v>0</v>
      </c>
      <c r="F17" s="81">
        <f t="shared" si="7"/>
        <v>0</v>
      </c>
      <c r="G17" s="81">
        <f t="shared" si="7"/>
        <v>0</v>
      </c>
      <c r="H17" s="81">
        <f t="shared" si="7"/>
        <v>0</v>
      </c>
      <c r="I17" s="81">
        <f t="shared" si="7"/>
        <v>0</v>
      </c>
      <c r="J17" s="81">
        <f t="shared" si="7"/>
        <v>0</v>
      </c>
    </row>
    <row r="18" spans="1:10" ht="12" customHeight="1" x14ac:dyDescent="0.25">
      <c r="A18" s="26" t="s">
        <v>203</v>
      </c>
      <c r="B18" s="91">
        <f t="shared" ref="B18:J18" si="8">IF(B26=0,0,B80/B26)</f>
        <v>0</v>
      </c>
      <c r="C18" s="91">
        <f t="shared" si="8"/>
        <v>0</v>
      </c>
      <c r="D18" s="91">
        <f t="shared" si="8"/>
        <v>0</v>
      </c>
      <c r="E18" s="91">
        <f t="shared" si="8"/>
        <v>0</v>
      </c>
      <c r="F18" s="91">
        <f t="shared" si="8"/>
        <v>0</v>
      </c>
      <c r="G18" s="91">
        <f t="shared" si="8"/>
        <v>0</v>
      </c>
      <c r="H18" s="91">
        <f t="shared" si="8"/>
        <v>0</v>
      </c>
      <c r="I18" s="91">
        <f t="shared" si="8"/>
        <v>0</v>
      </c>
      <c r="J18" s="91">
        <f t="shared" si="8"/>
        <v>0</v>
      </c>
    </row>
    <row r="19" spans="1:10" ht="12" customHeight="1" x14ac:dyDescent="0.25">
      <c r="A19" s="26" t="s">
        <v>204</v>
      </c>
      <c r="B19" s="91">
        <f t="shared" ref="B19:J19" si="9">IF(B35=0,0,(B37+B43)/B35)</f>
        <v>0</v>
      </c>
      <c r="C19" s="91">
        <f t="shared" si="9"/>
        <v>0</v>
      </c>
      <c r="D19" s="91">
        <f t="shared" si="9"/>
        <v>0</v>
      </c>
      <c r="E19" s="91">
        <f t="shared" si="9"/>
        <v>0</v>
      </c>
      <c r="F19" s="91">
        <f t="shared" si="9"/>
        <v>0</v>
      </c>
      <c r="G19" s="91">
        <f t="shared" si="9"/>
        <v>0</v>
      </c>
      <c r="H19" s="91">
        <f t="shared" si="9"/>
        <v>0</v>
      </c>
      <c r="I19" s="91">
        <f t="shared" si="9"/>
        <v>0</v>
      </c>
      <c r="J19" s="91">
        <f t="shared" si="9"/>
        <v>0</v>
      </c>
    </row>
    <row r="20" spans="1:10" ht="12" customHeight="1" x14ac:dyDescent="0.3">
      <c r="A20" s="3" t="str">
        <f>"Exploitatie                 "&amp;"(bedragen x € "&amp;IF('Invoer algemeen en balans'!$D$4="x 1.000","1.000",1)&amp;")"</f>
        <v>Exploitatie                 (bedragen x € 1.000)</v>
      </c>
      <c r="B20" s="3">
        <f t="shared" ref="B20:J20" si="10">B2</f>
        <v>2023</v>
      </c>
      <c r="C20" s="3">
        <f t="shared" si="10"/>
        <v>2024</v>
      </c>
      <c r="D20" s="3">
        <f t="shared" si="10"/>
        <v>2025</v>
      </c>
      <c r="E20" s="3">
        <f t="shared" si="10"/>
        <v>2026</v>
      </c>
      <c r="F20" s="3">
        <f t="shared" si="10"/>
        <v>2027</v>
      </c>
      <c r="G20" s="3">
        <f t="shared" si="10"/>
        <v>2028</v>
      </c>
      <c r="H20" s="3">
        <f t="shared" si="10"/>
        <v>2029</v>
      </c>
      <c r="I20" s="3">
        <f t="shared" si="10"/>
        <v>2030</v>
      </c>
      <c r="J20" s="3">
        <f t="shared" si="10"/>
        <v>2031</v>
      </c>
    </row>
    <row r="21" spans="1:10" ht="12" customHeight="1" x14ac:dyDescent="0.3">
      <c r="A21" s="93" t="s">
        <v>205</v>
      </c>
      <c r="B21" s="138"/>
      <c r="C21" s="138"/>
      <c r="D21" s="125"/>
      <c r="E21" s="125">
        <f t="shared" ref="E21:J25" si="11">D21*(1+E5)</f>
        <v>0</v>
      </c>
      <c r="F21" s="125">
        <f t="shared" si="11"/>
        <v>0</v>
      </c>
      <c r="G21" s="125">
        <f t="shared" si="11"/>
        <v>0</v>
      </c>
      <c r="H21" s="125">
        <f t="shared" si="11"/>
        <v>0</v>
      </c>
      <c r="I21" s="125">
        <f t="shared" si="11"/>
        <v>0</v>
      </c>
      <c r="J21" s="125">
        <f t="shared" si="11"/>
        <v>0</v>
      </c>
    </row>
    <row r="22" spans="1:10" ht="12" customHeight="1" x14ac:dyDescent="0.3">
      <c r="A22" s="93" t="s">
        <v>206</v>
      </c>
      <c r="B22" s="138"/>
      <c r="C22" s="138"/>
      <c r="D22" s="125"/>
      <c r="E22" s="125">
        <f t="shared" si="11"/>
        <v>0</v>
      </c>
      <c r="F22" s="125">
        <f t="shared" si="11"/>
        <v>0</v>
      </c>
      <c r="G22" s="125">
        <f t="shared" si="11"/>
        <v>0</v>
      </c>
      <c r="H22" s="125">
        <f t="shared" si="11"/>
        <v>0</v>
      </c>
      <c r="I22" s="125">
        <f t="shared" si="11"/>
        <v>0</v>
      </c>
      <c r="J22" s="125">
        <f t="shared" si="11"/>
        <v>0</v>
      </c>
    </row>
    <row r="23" spans="1:10" ht="12" customHeight="1" x14ac:dyDescent="0.3">
      <c r="A23" s="93" t="s">
        <v>207</v>
      </c>
      <c r="B23" s="138"/>
      <c r="C23" s="138"/>
      <c r="D23" s="125"/>
      <c r="E23" s="125">
        <f>D23*(1+E7)</f>
        <v>0</v>
      </c>
      <c r="F23" s="125">
        <f t="shared" ref="F23:F24" si="12">E23*(1+F7)</f>
        <v>0</v>
      </c>
      <c r="G23" s="125">
        <f t="shared" ref="G23:G24" si="13">F23*(1+G7)</f>
        <v>0</v>
      </c>
      <c r="H23" s="125">
        <f t="shared" ref="H23:H24" si="14">G23*(1+H7)</f>
        <v>0</v>
      </c>
      <c r="I23" s="125">
        <f t="shared" ref="I23:I24" si="15">H23*(1+I7)</f>
        <v>0</v>
      </c>
      <c r="J23" s="125">
        <f t="shared" ref="J23:J24" si="16">I23*(1+J7)</f>
        <v>0</v>
      </c>
    </row>
    <row r="24" spans="1:10" ht="12" customHeight="1" x14ac:dyDescent="0.3">
      <c r="A24" s="93" t="s">
        <v>208</v>
      </c>
      <c r="B24" s="138"/>
      <c r="C24" s="138"/>
      <c r="D24" s="125"/>
      <c r="E24" s="125">
        <f t="shared" ref="E24" si="17">D24*(1+E8)</f>
        <v>0</v>
      </c>
      <c r="F24" s="125">
        <f t="shared" si="12"/>
        <v>0</v>
      </c>
      <c r="G24" s="125">
        <f t="shared" si="13"/>
        <v>0</v>
      </c>
      <c r="H24" s="125">
        <f t="shared" si="14"/>
        <v>0</v>
      </c>
      <c r="I24" s="125">
        <f t="shared" si="15"/>
        <v>0</v>
      </c>
      <c r="J24" s="125">
        <f t="shared" si="16"/>
        <v>0</v>
      </c>
    </row>
    <row r="25" spans="1:10" ht="12" customHeight="1" x14ac:dyDescent="0.3">
      <c r="A25" s="93" t="s">
        <v>209</v>
      </c>
      <c r="B25" s="139"/>
      <c r="C25" s="139"/>
      <c r="D25" s="140"/>
      <c r="E25" s="140">
        <f t="shared" si="11"/>
        <v>0</v>
      </c>
      <c r="F25" s="140">
        <f t="shared" si="11"/>
        <v>0</v>
      </c>
      <c r="G25" s="140">
        <f t="shared" si="11"/>
        <v>0</v>
      </c>
      <c r="H25" s="140">
        <f t="shared" si="11"/>
        <v>0</v>
      </c>
      <c r="I25" s="140">
        <f t="shared" si="11"/>
        <v>0</v>
      </c>
      <c r="J25" s="140">
        <f t="shared" si="11"/>
        <v>0</v>
      </c>
    </row>
    <row r="26" spans="1:10" ht="12" customHeight="1" x14ac:dyDescent="0.25">
      <c r="A26" s="26" t="s">
        <v>210</v>
      </c>
      <c r="B26" s="122">
        <f>SUM(B21:B25)</f>
        <v>0</v>
      </c>
      <c r="C26" s="122">
        <f>SUM(C21:C25)</f>
        <v>0</v>
      </c>
      <c r="D26" s="122">
        <f>SUM(D21:D25)</f>
        <v>0</v>
      </c>
      <c r="E26" s="122">
        <f t="shared" ref="E26:J26" si="18">SUM(E21:E25)</f>
        <v>0</v>
      </c>
      <c r="F26" s="122">
        <f t="shared" si="18"/>
        <v>0</v>
      </c>
      <c r="G26" s="122">
        <f t="shared" si="18"/>
        <v>0</v>
      </c>
      <c r="H26" s="122">
        <f t="shared" si="18"/>
        <v>0</v>
      </c>
      <c r="I26" s="122">
        <f t="shared" si="18"/>
        <v>0</v>
      </c>
      <c r="J26" s="122">
        <f t="shared" si="18"/>
        <v>0</v>
      </c>
    </row>
    <row r="27" spans="1:10" ht="12" customHeight="1" x14ac:dyDescent="0.3">
      <c r="A27" s="34" t="str">
        <f>"Inkoop "&amp;A21</f>
        <v>Inkoop Omzetgroep 1</v>
      </c>
      <c r="B27" s="116"/>
      <c r="C27" s="116"/>
      <c r="D27" s="116"/>
      <c r="E27" s="122" t="str">
        <f t="shared" ref="E27:J31" si="19">IF(E11="","",E21*(1-E11))</f>
        <v/>
      </c>
      <c r="F27" s="122" t="str">
        <f t="shared" si="19"/>
        <v/>
      </c>
      <c r="G27" s="122" t="str">
        <f t="shared" si="19"/>
        <v/>
      </c>
      <c r="H27" s="122" t="str">
        <f t="shared" si="19"/>
        <v/>
      </c>
      <c r="I27" s="122" t="str">
        <f t="shared" si="19"/>
        <v/>
      </c>
      <c r="J27" s="122" t="str">
        <f t="shared" si="19"/>
        <v/>
      </c>
    </row>
    <row r="28" spans="1:10" ht="12" customHeight="1" x14ac:dyDescent="0.3">
      <c r="A28" s="34" t="str">
        <f>"Inkoop "&amp;A22</f>
        <v>Inkoop Omzetgroep 2</v>
      </c>
      <c r="B28" s="116"/>
      <c r="C28" s="116"/>
      <c r="D28" s="116"/>
      <c r="E28" s="122" t="str">
        <f t="shared" si="19"/>
        <v/>
      </c>
      <c r="F28" s="122" t="str">
        <f t="shared" si="19"/>
        <v/>
      </c>
      <c r="G28" s="122" t="str">
        <f t="shared" si="19"/>
        <v/>
      </c>
      <c r="H28" s="122" t="str">
        <f t="shared" si="19"/>
        <v/>
      </c>
      <c r="I28" s="122" t="str">
        <f t="shared" si="19"/>
        <v/>
      </c>
      <c r="J28" s="122" t="str">
        <f t="shared" si="19"/>
        <v/>
      </c>
    </row>
    <row r="29" spans="1:10" ht="12" customHeight="1" x14ac:dyDescent="0.3">
      <c r="A29" s="34" t="str">
        <f>"Inkoop "&amp;A23</f>
        <v>Inkoop Omzetgroep 3</v>
      </c>
      <c r="B29" s="116"/>
      <c r="C29" s="116"/>
      <c r="D29" s="116"/>
      <c r="E29" s="122" t="str">
        <f t="shared" si="19"/>
        <v/>
      </c>
      <c r="F29" s="122" t="str">
        <f t="shared" si="19"/>
        <v/>
      </c>
      <c r="G29" s="122" t="str">
        <f t="shared" si="19"/>
        <v/>
      </c>
      <c r="H29" s="122" t="str">
        <f t="shared" si="19"/>
        <v/>
      </c>
      <c r="I29" s="122" t="str">
        <f t="shared" si="19"/>
        <v/>
      </c>
      <c r="J29" s="122" t="str">
        <f t="shared" si="19"/>
        <v/>
      </c>
    </row>
    <row r="30" spans="1:10" ht="12" customHeight="1" x14ac:dyDescent="0.3">
      <c r="A30" s="34" t="str">
        <f>"Inkoop "&amp;A24</f>
        <v>Inkoop Omzetgroep 4</v>
      </c>
      <c r="B30" s="116"/>
      <c r="C30" s="116"/>
      <c r="D30" s="116"/>
      <c r="E30" s="122" t="str">
        <f t="shared" si="19"/>
        <v/>
      </c>
      <c r="F30" s="122" t="str">
        <f t="shared" si="19"/>
        <v/>
      </c>
      <c r="G30" s="122" t="str">
        <f t="shared" si="19"/>
        <v/>
      </c>
      <c r="H30" s="122" t="str">
        <f t="shared" si="19"/>
        <v/>
      </c>
      <c r="I30" s="122" t="str">
        <f t="shared" si="19"/>
        <v/>
      </c>
      <c r="J30" s="122" t="str">
        <f t="shared" si="19"/>
        <v/>
      </c>
    </row>
    <row r="31" spans="1:10" ht="12" customHeight="1" x14ac:dyDescent="0.3">
      <c r="A31" s="34" t="str">
        <f>"Inkoop "&amp;A25</f>
        <v>Inkoop Omzetgroep 5</v>
      </c>
      <c r="B31" s="116"/>
      <c r="C31" s="116"/>
      <c r="D31" s="116"/>
      <c r="E31" s="122" t="str">
        <f t="shared" si="19"/>
        <v/>
      </c>
      <c r="F31" s="122" t="str">
        <f t="shared" si="19"/>
        <v/>
      </c>
      <c r="G31" s="122" t="str">
        <f t="shared" si="19"/>
        <v/>
      </c>
      <c r="H31" s="122" t="str">
        <f t="shared" si="19"/>
        <v/>
      </c>
      <c r="I31" s="122" t="str">
        <f t="shared" si="19"/>
        <v/>
      </c>
      <c r="J31" s="122" t="str">
        <f t="shared" si="19"/>
        <v/>
      </c>
    </row>
    <row r="32" spans="1:10" ht="12" customHeight="1" x14ac:dyDescent="0.3">
      <c r="A32" s="34" t="s">
        <v>211</v>
      </c>
      <c r="B32" s="141"/>
      <c r="C32" s="141"/>
      <c r="D32" s="141"/>
      <c r="E32" s="140" t="str">
        <f>IF(D32="", "", D32*E26/D26)</f>
        <v/>
      </c>
      <c r="F32" s="140" t="str">
        <f t="shared" ref="F32:J32" si="20">IF(E32="", "", E32*F26/E26)</f>
        <v/>
      </c>
      <c r="G32" s="140" t="str">
        <f t="shared" si="20"/>
        <v/>
      </c>
      <c r="H32" s="140" t="str">
        <f t="shared" si="20"/>
        <v/>
      </c>
      <c r="I32" s="140" t="str">
        <f t="shared" si="20"/>
        <v/>
      </c>
      <c r="J32" s="140" t="str">
        <f t="shared" si="20"/>
        <v/>
      </c>
    </row>
    <row r="33" spans="1:10" ht="12" customHeight="1" x14ac:dyDescent="0.3">
      <c r="A33" s="34"/>
      <c r="B33" s="116"/>
      <c r="C33" s="116"/>
      <c r="D33" s="116"/>
      <c r="E33" s="116"/>
      <c r="F33" s="116"/>
      <c r="G33" s="116"/>
      <c r="H33" s="116"/>
      <c r="I33" s="116"/>
      <c r="J33" s="116"/>
    </row>
    <row r="34" spans="1:10" ht="12" customHeight="1" x14ac:dyDescent="0.25">
      <c r="A34" s="26" t="s">
        <v>212</v>
      </c>
      <c r="B34" s="122">
        <f t="shared" ref="B34:J34" si="21">SUM(B27:B32)</f>
        <v>0</v>
      </c>
      <c r="C34" s="122">
        <f t="shared" si="21"/>
        <v>0</v>
      </c>
      <c r="D34" s="122">
        <f t="shared" si="21"/>
        <v>0</v>
      </c>
      <c r="E34" s="122">
        <f t="shared" si="21"/>
        <v>0</v>
      </c>
      <c r="F34" s="122">
        <f t="shared" si="21"/>
        <v>0</v>
      </c>
      <c r="G34" s="122">
        <f t="shared" si="21"/>
        <v>0</v>
      </c>
      <c r="H34" s="122">
        <f t="shared" si="21"/>
        <v>0</v>
      </c>
      <c r="I34" s="122">
        <f t="shared" si="21"/>
        <v>0</v>
      </c>
      <c r="J34" s="122">
        <f t="shared" si="21"/>
        <v>0</v>
      </c>
    </row>
    <row r="35" spans="1:10" ht="12" customHeight="1" x14ac:dyDescent="0.25">
      <c r="A35" s="87" t="s">
        <v>213</v>
      </c>
      <c r="B35" s="128">
        <f t="shared" ref="B35:J35" si="22">B26-B34</f>
        <v>0</v>
      </c>
      <c r="C35" s="128">
        <f t="shared" si="22"/>
        <v>0</v>
      </c>
      <c r="D35" s="128">
        <f t="shared" si="22"/>
        <v>0</v>
      </c>
      <c r="E35" s="128">
        <f t="shared" si="22"/>
        <v>0</v>
      </c>
      <c r="F35" s="128">
        <f t="shared" si="22"/>
        <v>0</v>
      </c>
      <c r="G35" s="128">
        <f t="shared" si="22"/>
        <v>0</v>
      </c>
      <c r="H35" s="128">
        <f t="shared" si="22"/>
        <v>0</v>
      </c>
      <c r="I35" s="128">
        <f t="shared" si="22"/>
        <v>0</v>
      </c>
      <c r="J35" s="128">
        <f t="shared" si="22"/>
        <v>0</v>
      </c>
    </row>
    <row r="36" spans="1:10" ht="12" customHeight="1" x14ac:dyDescent="0.25">
      <c r="A36" s="87"/>
      <c r="B36" s="128"/>
      <c r="C36" s="128"/>
      <c r="D36" s="128"/>
      <c r="E36" s="128"/>
      <c r="F36" s="128"/>
      <c r="G36" s="128"/>
      <c r="H36" s="128"/>
      <c r="I36" s="128"/>
      <c r="J36" s="128"/>
    </row>
    <row r="37" spans="1:10" ht="12" customHeight="1" x14ac:dyDescent="0.25">
      <c r="A37" s="27" t="s">
        <v>214</v>
      </c>
      <c r="B37" s="116"/>
      <c r="C37" s="116"/>
      <c r="D37" s="116"/>
      <c r="E37" s="125">
        <f t="shared" ref="E37:J37" si="23">IF(D19=0,0,+E$35*D$19*(D37/(D$37+D$43)))</f>
        <v>0</v>
      </c>
      <c r="F37" s="125">
        <f t="shared" si="23"/>
        <v>0</v>
      </c>
      <c r="G37" s="125">
        <f t="shared" si="23"/>
        <v>0</v>
      </c>
      <c r="H37" s="125">
        <f t="shared" si="23"/>
        <v>0</v>
      </c>
      <c r="I37" s="125">
        <f t="shared" si="23"/>
        <v>0</v>
      </c>
      <c r="J37" s="125">
        <f t="shared" si="23"/>
        <v>0</v>
      </c>
    </row>
    <row r="38" spans="1:10" ht="12" customHeight="1" x14ac:dyDescent="0.25">
      <c r="A38" s="27" t="s">
        <v>215</v>
      </c>
      <c r="B38" s="116"/>
      <c r="C38" s="116"/>
      <c r="D38" s="116"/>
      <c r="E38" s="125">
        <f>IF(D$37=0,0,D38/D$37*E$37)</f>
        <v>0</v>
      </c>
      <c r="F38" s="125">
        <f>IF(E$37=0,0,E38/E$37*F$37)</f>
        <v>0</v>
      </c>
      <c r="G38" s="125">
        <f>IF(F37=0,0,F38/F$37*G$37)</f>
        <v>0</v>
      </c>
      <c r="H38" s="125">
        <f>IF(G37=0,0,G38/G$37*H$37)</f>
        <v>0</v>
      </c>
      <c r="I38" s="125">
        <f>IF(H37=0,0,H38/H$37*I$37)</f>
        <v>0</v>
      </c>
      <c r="J38" s="125">
        <f>IF(I37=0,0,I38/I$37*J$37)</f>
        <v>0</v>
      </c>
    </row>
    <row r="39" spans="1:10" ht="12" customHeight="1" x14ac:dyDescent="0.25">
      <c r="A39" s="27" t="s">
        <v>216</v>
      </c>
      <c r="B39" s="116"/>
      <c r="C39" s="116"/>
      <c r="D39" s="116"/>
      <c r="E39" s="125">
        <f>IF(D$37=0,0,D39/D$37*E$37)</f>
        <v>0</v>
      </c>
      <c r="F39" s="125">
        <f>IF(E$37=0,0,E39/E$37*F$37)</f>
        <v>0</v>
      </c>
      <c r="G39" s="125">
        <f>IF(F$37=0,0,F39/F$37*G$37)</f>
        <v>0</v>
      </c>
      <c r="H39" s="125">
        <f>IF(G$37=0,0,G39/G$37*H$37)</f>
        <v>0</v>
      </c>
      <c r="I39" s="125">
        <f>IF(H$37=0,0,H39/H$37*I$37)</f>
        <v>0</v>
      </c>
      <c r="J39" s="125">
        <f>IF(I$37=0,0,I39/I$37*J$37)</f>
        <v>0</v>
      </c>
    </row>
    <row r="40" spans="1:10" ht="12" customHeight="1" x14ac:dyDescent="0.25">
      <c r="A40" s="27" t="s">
        <v>217</v>
      </c>
      <c r="B40" s="116"/>
      <c r="C40" s="116"/>
      <c r="D40" s="116"/>
      <c r="E40" s="125">
        <f t="shared" ref="E40:J41" si="24">D40*(1+E$3)</f>
        <v>0</v>
      </c>
      <c r="F40" s="125">
        <f t="shared" si="24"/>
        <v>0</v>
      </c>
      <c r="G40" s="125">
        <f t="shared" si="24"/>
        <v>0</v>
      </c>
      <c r="H40" s="125">
        <f t="shared" si="24"/>
        <v>0</v>
      </c>
      <c r="I40" s="125">
        <f t="shared" si="24"/>
        <v>0</v>
      </c>
      <c r="J40" s="125">
        <f t="shared" si="24"/>
        <v>0</v>
      </c>
    </row>
    <row r="41" spans="1:10" ht="12" customHeight="1" x14ac:dyDescent="0.25">
      <c r="A41" s="27" t="s">
        <v>218</v>
      </c>
      <c r="B41" s="116"/>
      <c r="C41" s="116"/>
      <c r="D41" s="116"/>
      <c r="E41" s="125">
        <f t="shared" si="24"/>
        <v>0</v>
      </c>
      <c r="F41" s="125">
        <f t="shared" si="24"/>
        <v>0</v>
      </c>
      <c r="G41" s="125">
        <f t="shared" si="24"/>
        <v>0</v>
      </c>
      <c r="H41" s="125">
        <f t="shared" si="24"/>
        <v>0</v>
      </c>
      <c r="I41" s="125">
        <f t="shared" si="24"/>
        <v>0</v>
      </c>
      <c r="J41" s="125">
        <f t="shared" si="24"/>
        <v>0</v>
      </c>
    </row>
    <row r="42" spans="1:10" ht="12" customHeight="1" x14ac:dyDescent="0.25">
      <c r="A42" s="97" t="s">
        <v>219</v>
      </c>
      <c r="B42" s="116"/>
      <c r="C42" s="116"/>
      <c r="D42" s="116"/>
      <c r="E42" s="125">
        <f>D42*(1+E$3)</f>
        <v>0</v>
      </c>
      <c r="F42" s="125">
        <f>IF(E42="","",E42*(1+F$3))</f>
        <v>0</v>
      </c>
      <c r="G42" s="125">
        <f>IF(F42="","",F42*(1+G$3))</f>
        <v>0</v>
      </c>
      <c r="H42" s="125">
        <f>IF(G42="","",G42*(1+H$3))</f>
        <v>0</v>
      </c>
      <c r="I42" s="125">
        <f>IF(H42="","",H42*(1+I$3))</f>
        <v>0</v>
      </c>
      <c r="J42" s="125">
        <f>IF(I42="","",I42*(1+J$3))</f>
        <v>0</v>
      </c>
    </row>
    <row r="43" spans="1:10" ht="12" customHeight="1" x14ac:dyDescent="0.25">
      <c r="A43" s="97" t="s">
        <v>220</v>
      </c>
      <c r="B43" s="116"/>
      <c r="C43" s="116"/>
      <c r="D43" s="116"/>
      <c r="E43" s="125">
        <f>D43*(1+E$3)</f>
        <v>0</v>
      </c>
      <c r="F43" s="125">
        <f t="shared" ref="F43:J46" si="25">E43*(1+F$3)</f>
        <v>0</v>
      </c>
      <c r="G43" s="125">
        <f t="shared" si="25"/>
        <v>0</v>
      </c>
      <c r="H43" s="125">
        <f t="shared" si="25"/>
        <v>0</v>
      </c>
      <c r="I43" s="125">
        <f t="shared" si="25"/>
        <v>0</v>
      </c>
      <c r="J43" s="125">
        <f t="shared" si="25"/>
        <v>0</v>
      </c>
    </row>
    <row r="44" spans="1:10" ht="12" customHeight="1" x14ac:dyDescent="0.25">
      <c r="A44" s="27" t="s">
        <v>221</v>
      </c>
      <c r="B44" s="116"/>
      <c r="C44" s="116"/>
      <c r="D44" s="116"/>
      <c r="E44" s="125">
        <f>D44*(1+E$3)</f>
        <v>0</v>
      </c>
      <c r="F44" s="125">
        <f t="shared" si="25"/>
        <v>0</v>
      </c>
      <c r="G44" s="125">
        <f t="shared" si="25"/>
        <v>0</v>
      </c>
      <c r="H44" s="125">
        <f t="shared" si="25"/>
        <v>0</v>
      </c>
      <c r="I44" s="125">
        <f t="shared" si="25"/>
        <v>0</v>
      </c>
      <c r="J44" s="125">
        <f t="shared" si="25"/>
        <v>0</v>
      </c>
    </row>
    <row r="45" spans="1:10" ht="12" customHeight="1" x14ac:dyDescent="0.25">
      <c r="A45" s="27" t="s">
        <v>222</v>
      </c>
      <c r="B45" s="116"/>
      <c r="C45" s="116"/>
      <c r="D45" s="116"/>
      <c r="E45" s="125">
        <f>D45*(1+E$3)</f>
        <v>0</v>
      </c>
      <c r="F45" s="125">
        <f t="shared" si="25"/>
        <v>0</v>
      </c>
      <c r="G45" s="125">
        <f t="shared" si="25"/>
        <v>0</v>
      </c>
      <c r="H45" s="125">
        <f t="shared" si="25"/>
        <v>0</v>
      </c>
      <c r="I45" s="125">
        <f t="shared" si="25"/>
        <v>0</v>
      </c>
      <c r="J45" s="125">
        <f t="shared" si="25"/>
        <v>0</v>
      </c>
    </row>
    <row r="46" spans="1:10" ht="12" customHeight="1" x14ac:dyDescent="0.25">
      <c r="A46" s="27" t="s">
        <v>223</v>
      </c>
      <c r="B46" s="141"/>
      <c r="C46" s="141"/>
      <c r="D46" s="141"/>
      <c r="E46" s="140">
        <f>D46*(1+E$3)</f>
        <v>0</v>
      </c>
      <c r="F46" s="140">
        <f t="shared" si="25"/>
        <v>0</v>
      </c>
      <c r="G46" s="140">
        <f t="shared" si="25"/>
        <v>0</v>
      </c>
      <c r="H46" s="140">
        <f t="shared" si="25"/>
        <v>0</v>
      </c>
      <c r="I46" s="140">
        <f t="shared" si="25"/>
        <v>0</v>
      </c>
      <c r="J46" s="140">
        <f t="shared" si="25"/>
        <v>0</v>
      </c>
    </row>
    <row r="47" spans="1:10" ht="12" customHeight="1" x14ac:dyDescent="0.25">
      <c r="A47" s="26" t="s">
        <v>224</v>
      </c>
      <c r="B47" s="122">
        <f t="shared" ref="B47:J47" si="26">SUM(B37:B46)</f>
        <v>0</v>
      </c>
      <c r="C47" s="122">
        <f t="shared" si="26"/>
        <v>0</v>
      </c>
      <c r="D47" s="122">
        <f t="shared" si="26"/>
        <v>0</v>
      </c>
      <c r="E47" s="122">
        <f t="shared" si="26"/>
        <v>0</v>
      </c>
      <c r="F47" s="122">
        <f t="shared" si="26"/>
        <v>0</v>
      </c>
      <c r="G47" s="122">
        <f t="shared" si="26"/>
        <v>0</v>
      </c>
      <c r="H47" s="122">
        <f t="shared" si="26"/>
        <v>0</v>
      </c>
      <c r="I47" s="122">
        <f t="shared" si="26"/>
        <v>0</v>
      </c>
      <c r="J47" s="122">
        <f t="shared" si="26"/>
        <v>0</v>
      </c>
    </row>
    <row r="48" spans="1:10" ht="12" customHeight="1" x14ac:dyDescent="0.25">
      <c r="A48" s="27" t="s">
        <v>225</v>
      </c>
      <c r="B48" s="116"/>
      <c r="C48" s="116"/>
      <c r="D48" s="116"/>
      <c r="E48" s="125">
        <f t="shared" ref="E48:E59" si="27">D48*(1+E$3)</f>
        <v>0</v>
      </c>
      <c r="F48" s="125">
        <f t="shared" ref="F48:F53" si="28">E48*(1+F$3)</f>
        <v>0</v>
      </c>
      <c r="G48" s="125">
        <f t="shared" ref="G48:G53" si="29">F48*(1+G$3)</f>
        <v>0</v>
      </c>
      <c r="H48" s="125">
        <f t="shared" ref="H48:H53" si="30">G48*(1+H$3)</f>
        <v>0</v>
      </c>
      <c r="I48" s="125">
        <f t="shared" ref="I48:J50" si="31">H48*(1+I$3)</f>
        <v>0</v>
      </c>
      <c r="J48" s="125">
        <f t="shared" si="31"/>
        <v>0</v>
      </c>
    </row>
    <row r="49" spans="1:10" ht="12" customHeight="1" x14ac:dyDescent="0.25">
      <c r="A49" s="27" t="s">
        <v>226</v>
      </c>
      <c r="B49" s="116"/>
      <c r="C49" s="116"/>
      <c r="D49" s="116"/>
      <c r="E49" s="125">
        <f t="shared" si="27"/>
        <v>0</v>
      </c>
      <c r="F49" s="125">
        <f t="shared" si="28"/>
        <v>0</v>
      </c>
      <c r="G49" s="125">
        <f t="shared" si="29"/>
        <v>0</v>
      </c>
      <c r="H49" s="125">
        <f t="shared" si="30"/>
        <v>0</v>
      </c>
      <c r="I49" s="125">
        <f t="shared" si="31"/>
        <v>0</v>
      </c>
      <c r="J49" s="125">
        <f t="shared" si="31"/>
        <v>0</v>
      </c>
    </row>
    <row r="50" spans="1:10" ht="12" customHeight="1" x14ac:dyDescent="0.25">
      <c r="A50" s="27" t="s">
        <v>227</v>
      </c>
      <c r="B50" s="116"/>
      <c r="C50" s="116"/>
      <c r="D50" s="116"/>
      <c r="E50" s="125">
        <f t="shared" si="27"/>
        <v>0</v>
      </c>
      <c r="F50" s="125">
        <f t="shared" si="28"/>
        <v>0</v>
      </c>
      <c r="G50" s="125">
        <f t="shared" si="29"/>
        <v>0</v>
      </c>
      <c r="H50" s="125">
        <f t="shared" si="30"/>
        <v>0</v>
      </c>
      <c r="I50" s="125">
        <f t="shared" si="31"/>
        <v>0</v>
      </c>
      <c r="J50" s="125">
        <f t="shared" si="31"/>
        <v>0</v>
      </c>
    </row>
    <row r="51" spans="1:10" ht="12" customHeight="1" x14ac:dyDescent="0.25">
      <c r="A51" s="27" t="s">
        <v>228</v>
      </c>
      <c r="B51" s="116"/>
      <c r="C51" s="116"/>
      <c r="D51" s="116"/>
      <c r="E51" s="125">
        <f t="shared" si="27"/>
        <v>0</v>
      </c>
      <c r="F51" s="125">
        <f t="shared" si="28"/>
        <v>0</v>
      </c>
      <c r="G51" s="125">
        <f t="shared" si="29"/>
        <v>0</v>
      </c>
      <c r="H51" s="125">
        <f t="shared" si="30"/>
        <v>0</v>
      </c>
      <c r="I51" s="125">
        <f t="shared" ref="I51:J53" si="32">H51*(1+I$3)</f>
        <v>0</v>
      </c>
      <c r="J51" s="125">
        <f t="shared" si="32"/>
        <v>0</v>
      </c>
    </row>
    <row r="52" spans="1:10" ht="12" customHeight="1" x14ac:dyDescent="0.25">
      <c r="A52" s="27" t="s">
        <v>229</v>
      </c>
      <c r="B52" s="116"/>
      <c r="C52" s="116"/>
      <c r="D52" s="116"/>
      <c r="E52" s="125">
        <f t="shared" si="27"/>
        <v>0</v>
      </c>
      <c r="F52" s="125">
        <f t="shared" si="28"/>
        <v>0</v>
      </c>
      <c r="G52" s="125">
        <f t="shared" si="29"/>
        <v>0</v>
      </c>
      <c r="H52" s="125">
        <f t="shared" si="30"/>
        <v>0</v>
      </c>
      <c r="I52" s="125">
        <f t="shared" si="32"/>
        <v>0</v>
      </c>
      <c r="J52" s="125">
        <f t="shared" si="32"/>
        <v>0</v>
      </c>
    </row>
    <row r="53" spans="1:10" ht="12" customHeight="1" x14ac:dyDescent="0.25">
      <c r="A53" s="27" t="s">
        <v>230</v>
      </c>
      <c r="B53" s="141"/>
      <c r="C53" s="141"/>
      <c r="D53" s="141"/>
      <c r="E53" s="140">
        <f t="shared" si="27"/>
        <v>0</v>
      </c>
      <c r="F53" s="140">
        <f t="shared" si="28"/>
        <v>0</v>
      </c>
      <c r="G53" s="140">
        <f t="shared" si="29"/>
        <v>0</v>
      </c>
      <c r="H53" s="140">
        <f t="shared" si="30"/>
        <v>0</v>
      </c>
      <c r="I53" s="140">
        <f t="shared" si="32"/>
        <v>0</v>
      </c>
      <c r="J53" s="140">
        <f t="shared" si="32"/>
        <v>0</v>
      </c>
    </row>
    <row r="54" spans="1:10" ht="12" customHeight="1" x14ac:dyDescent="0.25">
      <c r="A54" s="26" t="s">
        <v>231</v>
      </c>
      <c r="B54" s="122">
        <f>SUM(B48:B53)</f>
        <v>0</v>
      </c>
      <c r="C54" s="122">
        <f t="shared" ref="C54:J54" si="33">SUM(C48:C53)</f>
        <v>0</v>
      </c>
      <c r="D54" s="122">
        <f t="shared" si="33"/>
        <v>0</v>
      </c>
      <c r="E54" s="122">
        <f t="shared" si="33"/>
        <v>0</v>
      </c>
      <c r="F54" s="122">
        <f t="shared" si="33"/>
        <v>0</v>
      </c>
      <c r="G54" s="122">
        <f t="shared" si="33"/>
        <v>0</v>
      </c>
      <c r="H54" s="122">
        <f t="shared" si="33"/>
        <v>0</v>
      </c>
      <c r="I54" s="122">
        <f t="shared" si="33"/>
        <v>0</v>
      </c>
      <c r="J54" s="122">
        <f t="shared" si="33"/>
        <v>0</v>
      </c>
    </row>
    <row r="55" spans="1:10" ht="12" customHeight="1" x14ac:dyDescent="0.25">
      <c r="A55" s="27" t="s">
        <v>232</v>
      </c>
      <c r="B55" s="116"/>
      <c r="C55" s="116"/>
      <c r="D55" s="116"/>
      <c r="E55" s="125">
        <f t="shared" si="27"/>
        <v>0</v>
      </c>
      <c r="F55" s="125">
        <f t="shared" ref="F55:H59" si="34">E55*(1+F$3)</f>
        <v>0</v>
      </c>
      <c r="G55" s="125">
        <f t="shared" si="34"/>
        <v>0</v>
      </c>
      <c r="H55" s="125">
        <f t="shared" si="34"/>
        <v>0</v>
      </c>
      <c r="I55" s="125">
        <f t="shared" ref="I55:J59" si="35">H55*(1+I$3)</f>
        <v>0</v>
      </c>
      <c r="J55" s="125">
        <f t="shared" si="35"/>
        <v>0</v>
      </c>
    </row>
    <row r="56" spans="1:10" ht="12" customHeight="1" x14ac:dyDescent="0.3">
      <c r="A56" s="27" t="s">
        <v>233</v>
      </c>
      <c r="B56" s="116"/>
      <c r="C56" s="116"/>
      <c r="D56" s="116"/>
      <c r="E56" s="125">
        <f t="shared" si="27"/>
        <v>0</v>
      </c>
      <c r="F56" s="125">
        <f t="shared" si="34"/>
        <v>0</v>
      </c>
      <c r="G56" s="125">
        <f t="shared" si="34"/>
        <v>0</v>
      </c>
      <c r="H56" s="125">
        <f t="shared" si="34"/>
        <v>0</v>
      </c>
      <c r="I56" s="125">
        <f t="shared" si="35"/>
        <v>0</v>
      </c>
      <c r="J56" s="125">
        <f t="shared" si="35"/>
        <v>0</v>
      </c>
    </row>
    <row r="57" spans="1:10" ht="12" customHeight="1" x14ac:dyDescent="0.25">
      <c r="A57" s="27" t="s">
        <v>234</v>
      </c>
      <c r="B57" s="116"/>
      <c r="C57" s="116"/>
      <c r="D57" s="116"/>
      <c r="E57" s="125">
        <f t="shared" si="27"/>
        <v>0</v>
      </c>
      <c r="F57" s="125">
        <f t="shared" si="34"/>
        <v>0</v>
      </c>
      <c r="G57" s="125">
        <f t="shared" si="34"/>
        <v>0</v>
      </c>
      <c r="H57" s="125">
        <f t="shared" si="34"/>
        <v>0</v>
      </c>
      <c r="I57" s="125">
        <f t="shared" si="35"/>
        <v>0</v>
      </c>
      <c r="J57" s="125">
        <f t="shared" si="35"/>
        <v>0</v>
      </c>
    </row>
    <row r="58" spans="1:10" ht="12" customHeight="1" x14ac:dyDescent="0.25">
      <c r="A58" s="27" t="s">
        <v>235</v>
      </c>
      <c r="B58" s="116"/>
      <c r="C58" s="116"/>
      <c r="D58" s="116"/>
      <c r="E58" s="125">
        <f t="shared" si="27"/>
        <v>0</v>
      </c>
      <c r="F58" s="125">
        <f t="shared" si="34"/>
        <v>0</v>
      </c>
      <c r="G58" s="125">
        <f t="shared" si="34"/>
        <v>0</v>
      </c>
      <c r="H58" s="125">
        <f t="shared" si="34"/>
        <v>0</v>
      </c>
      <c r="I58" s="125">
        <f t="shared" si="35"/>
        <v>0</v>
      </c>
      <c r="J58" s="125">
        <f t="shared" si="35"/>
        <v>0</v>
      </c>
    </row>
    <row r="59" spans="1:10" ht="12" customHeight="1" x14ac:dyDescent="0.25">
      <c r="A59" s="27" t="s">
        <v>236</v>
      </c>
      <c r="B59" s="141"/>
      <c r="C59" s="141"/>
      <c r="D59" s="141"/>
      <c r="E59" s="140">
        <f t="shared" si="27"/>
        <v>0</v>
      </c>
      <c r="F59" s="140">
        <f t="shared" si="34"/>
        <v>0</v>
      </c>
      <c r="G59" s="140">
        <f t="shared" si="34"/>
        <v>0</v>
      </c>
      <c r="H59" s="140">
        <f t="shared" si="34"/>
        <v>0</v>
      </c>
      <c r="I59" s="140">
        <f t="shared" si="35"/>
        <v>0</v>
      </c>
      <c r="J59" s="140">
        <f t="shared" si="35"/>
        <v>0</v>
      </c>
    </row>
    <row r="60" spans="1:10" ht="12" customHeight="1" x14ac:dyDescent="0.25">
      <c r="A60" s="26" t="s">
        <v>237</v>
      </c>
      <c r="B60" s="122">
        <f>SUM(B55:B59)</f>
        <v>0</v>
      </c>
      <c r="C60" s="122">
        <f t="shared" ref="C60:J60" si="36">SUM(C55:C59)</f>
        <v>0</v>
      </c>
      <c r="D60" s="122">
        <f t="shared" si="36"/>
        <v>0</v>
      </c>
      <c r="E60" s="122">
        <f t="shared" si="36"/>
        <v>0</v>
      </c>
      <c r="F60" s="122">
        <f t="shared" si="36"/>
        <v>0</v>
      </c>
      <c r="G60" s="122">
        <f t="shared" si="36"/>
        <v>0</v>
      </c>
      <c r="H60" s="122">
        <f t="shared" si="36"/>
        <v>0</v>
      </c>
      <c r="I60" s="122">
        <f t="shared" si="36"/>
        <v>0</v>
      </c>
      <c r="J60" s="122">
        <f t="shared" si="36"/>
        <v>0</v>
      </c>
    </row>
    <row r="61" spans="1:10" ht="12" customHeight="1" x14ac:dyDescent="0.25">
      <c r="A61" s="27" t="s">
        <v>238</v>
      </c>
      <c r="B61" s="116"/>
      <c r="C61" s="116"/>
      <c r="D61" s="116"/>
      <c r="E61" s="125">
        <f t="shared" ref="E61:G73" si="37">D61*(1+E$3)</f>
        <v>0</v>
      </c>
      <c r="F61" s="125">
        <f t="shared" si="37"/>
        <v>0</v>
      </c>
      <c r="G61" s="125">
        <f t="shared" si="37"/>
        <v>0</v>
      </c>
      <c r="H61" s="125">
        <f t="shared" ref="H61:J65" si="38">G61*(1+H$3)</f>
        <v>0</v>
      </c>
      <c r="I61" s="125">
        <f t="shared" si="38"/>
        <v>0</v>
      </c>
      <c r="J61" s="125">
        <f t="shared" si="38"/>
        <v>0</v>
      </c>
    </row>
    <row r="62" spans="1:10" ht="12" customHeight="1" x14ac:dyDescent="0.25">
      <c r="A62" s="27" t="s">
        <v>239</v>
      </c>
      <c r="B62" s="116"/>
      <c r="C62" s="116"/>
      <c r="D62" s="116"/>
      <c r="E62" s="125">
        <f t="shared" si="37"/>
        <v>0</v>
      </c>
      <c r="F62" s="125">
        <f t="shared" si="37"/>
        <v>0</v>
      </c>
      <c r="G62" s="125">
        <f t="shared" si="37"/>
        <v>0</v>
      </c>
      <c r="H62" s="125">
        <f t="shared" si="38"/>
        <v>0</v>
      </c>
      <c r="I62" s="125">
        <f t="shared" si="38"/>
        <v>0</v>
      </c>
      <c r="J62" s="125">
        <f t="shared" si="38"/>
        <v>0</v>
      </c>
    </row>
    <row r="63" spans="1:10" ht="12" customHeight="1" x14ac:dyDescent="0.25">
      <c r="A63" s="27" t="s">
        <v>240</v>
      </c>
      <c r="B63" s="116"/>
      <c r="C63" s="116"/>
      <c r="D63" s="116"/>
      <c r="E63" s="125">
        <f t="shared" si="37"/>
        <v>0</v>
      </c>
      <c r="F63" s="125">
        <f t="shared" si="37"/>
        <v>0</v>
      </c>
      <c r="G63" s="125">
        <f t="shared" si="37"/>
        <v>0</v>
      </c>
      <c r="H63" s="125">
        <f t="shared" si="38"/>
        <v>0</v>
      </c>
      <c r="I63" s="125">
        <f t="shared" si="38"/>
        <v>0</v>
      </c>
      <c r="J63" s="125">
        <f t="shared" si="38"/>
        <v>0</v>
      </c>
    </row>
    <row r="64" spans="1:10" ht="12" customHeight="1" x14ac:dyDescent="0.25">
      <c r="A64" s="27" t="s">
        <v>241</v>
      </c>
      <c r="B64" s="116"/>
      <c r="C64" s="116"/>
      <c r="D64" s="116"/>
      <c r="E64" s="125">
        <f t="shared" si="37"/>
        <v>0</v>
      </c>
      <c r="F64" s="125">
        <f t="shared" si="37"/>
        <v>0</v>
      </c>
      <c r="G64" s="125">
        <f t="shared" si="37"/>
        <v>0</v>
      </c>
      <c r="H64" s="125">
        <f t="shared" si="38"/>
        <v>0</v>
      </c>
      <c r="I64" s="125">
        <f t="shared" si="38"/>
        <v>0</v>
      </c>
      <c r="J64" s="125">
        <f t="shared" si="38"/>
        <v>0</v>
      </c>
    </row>
    <row r="65" spans="1:10" ht="12" customHeight="1" x14ac:dyDescent="0.25">
      <c r="A65" s="27" t="s">
        <v>242</v>
      </c>
      <c r="B65" s="141"/>
      <c r="C65" s="141"/>
      <c r="D65" s="141"/>
      <c r="E65" s="140">
        <f t="shared" si="37"/>
        <v>0</v>
      </c>
      <c r="F65" s="140">
        <f t="shared" si="37"/>
        <v>0</v>
      </c>
      <c r="G65" s="140">
        <f t="shared" si="37"/>
        <v>0</v>
      </c>
      <c r="H65" s="140">
        <f t="shared" si="38"/>
        <v>0</v>
      </c>
      <c r="I65" s="140">
        <f t="shared" si="38"/>
        <v>0</v>
      </c>
      <c r="J65" s="140">
        <f t="shared" si="38"/>
        <v>0</v>
      </c>
    </row>
    <row r="66" spans="1:10" ht="12" customHeight="1" x14ac:dyDescent="0.25">
      <c r="A66" s="26" t="s">
        <v>243</v>
      </c>
      <c r="B66" s="122">
        <f>SUM(B61:B65)</f>
        <v>0</v>
      </c>
      <c r="C66" s="122">
        <f t="shared" ref="C66:J66" si="39">SUM(C61:C65)</f>
        <v>0</v>
      </c>
      <c r="D66" s="122">
        <f t="shared" si="39"/>
        <v>0</v>
      </c>
      <c r="E66" s="122">
        <f t="shared" si="39"/>
        <v>0</v>
      </c>
      <c r="F66" s="122">
        <f t="shared" si="39"/>
        <v>0</v>
      </c>
      <c r="G66" s="122">
        <f t="shared" si="39"/>
        <v>0</v>
      </c>
      <c r="H66" s="122">
        <f t="shared" si="39"/>
        <v>0</v>
      </c>
      <c r="I66" s="122">
        <f t="shared" si="39"/>
        <v>0</v>
      </c>
      <c r="J66" s="122">
        <f t="shared" si="39"/>
        <v>0</v>
      </c>
    </row>
    <row r="67" spans="1:10" ht="12" customHeight="1" x14ac:dyDescent="0.25">
      <c r="A67" s="27" t="s">
        <v>244</v>
      </c>
      <c r="B67" s="116"/>
      <c r="C67" s="116"/>
      <c r="D67" s="116"/>
      <c r="E67" s="125">
        <f t="shared" si="37"/>
        <v>0</v>
      </c>
      <c r="F67" s="125">
        <f t="shared" ref="F67:F73" si="40">E67*(1+F$3)</f>
        <v>0</v>
      </c>
      <c r="G67" s="125">
        <f t="shared" ref="G67:J70" si="41">F67*(1+G$3)</f>
        <v>0</v>
      </c>
      <c r="H67" s="125">
        <f t="shared" si="41"/>
        <v>0</v>
      </c>
      <c r="I67" s="125">
        <f t="shared" si="41"/>
        <v>0</v>
      </c>
      <c r="J67" s="125">
        <f t="shared" si="41"/>
        <v>0</v>
      </c>
    </row>
    <row r="68" spans="1:10" ht="12" customHeight="1" x14ac:dyDescent="0.25">
      <c r="A68" s="27" t="s">
        <v>245</v>
      </c>
      <c r="B68" s="116"/>
      <c r="C68" s="116"/>
      <c r="D68" s="116"/>
      <c r="E68" s="125">
        <f t="shared" si="37"/>
        <v>0</v>
      </c>
      <c r="F68" s="125">
        <f t="shared" si="40"/>
        <v>0</v>
      </c>
      <c r="G68" s="125">
        <f t="shared" si="41"/>
        <v>0</v>
      </c>
      <c r="H68" s="125">
        <f t="shared" si="41"/>
        <v>0</v>
      </c>
      <c r="I68" s="125">
        <f t="shared" si="41"/>
        <v>0</v>
      </c>
      <c r="J68" s="125">
        <f t="shared" si="41"/>
        <v>0</v>
      </c>
    </row>
    <row r="69" spans="1:10" ht="12" customHeight="1" x14ac:dyDescent="0.25">
      <c r="A69" s="27" t="s">
        <v>246</v>
      </c>
      <c r="B69" s="116"/>
      <c r="C69" s="116"/>
      <c r="D69" s="116"/>
      <c r="E69" s="125">
        <f t="shared" si="37"/>
        <v>0</v>
      </c>
      <c r="F69" s="125">
        <f t="shared" si="40"/>
        <v>0</v>
      </c>
      <c r="G69" s="125">
        <f t="shared" si="41"/>
        <v>0</v>
      </c>
      <c r="H69" s="125">
        <f t="shared" si="41"/>
        <v>0</v>
      </c>
      <c r="I69" s="125">
        <f t="shared" si="41"/>
        <v>0</v>
      </c>
      <c r="J69" s="125">
        <f t="shared" si="41"/>
        <v>0</v>
      </c>
    </row>
    <row r="70" spans="1:10" ht="12" customHeight="1" x14ac:dyDescent="0.25">
      <c r="A70" s="27" t="s">
        <v>247</v>
      </c>
      <c r="B70" s="116"/>
      <c r="C70" s="116"/>
      <c r="D70" s="116"/>
      <c r="E70" s="125">
        <f t="shared" si="37"/>
        <v>0</v>
      </c>
      <c r="F70" s="125">
        <f t="shared" si="40"/>
        <v>0</v>
      </c>
      <c r="G70" s="125">
        <f t="shared" si="41"/>
        <v>0</v>
      </c>
      <c r="H70" s="125">
        <f t="shared" si="41"/>
        <v>0</v>
      </c>
      <c r="I70" s="125">
        <f t="shared" si="41"/>
        <v>0</v>
      </c>
      <c r="J70" s="125">
        <f t="shared" si="41"/>
        <v>0</v>
      </c>
    </row>
    <row r="71" spans="1:10" ht="12" customHeight="1" x14ac:dyDescent="0.25">
      <c r="A71" s="27" t="s">
        <v>248</v>
      </c>
      <c r="B71" s="116"/>
      <c r="C71" s="116"/>
      <c r="D71" s="116"/>
      <c r="E71" s="125">
        <f t="shared" si="37"/>
        <v>0</v>
      </c>
      <c r="F71" s="125">
        <f t="shared" si="40"/>
        <v>0</v>
      </c>
      <c r="G71" s="125">
        <f t="shared" ref="G71:J73" si="42">F71*(1+G$3)</f>
        <v>0</v>
      </c>
      <c r="H71" s="125">
        <f t="shared" si="42"/>
        <v>0</v>
      </c>
      <c r="I71" s="125">
        <f t="shared" si="42"/>
        <v>0</v>
      </c>
      <c r="J71" s="125">
        <f t="shared" si="42"/>
        <v>0</v>
      </c>
    </row>
    <row r="72" spans="1:10" ht="12" customHeight="1" x14ac:dyDescent="0.25">
      <c r="A72" s="27" t="s">
        <v>249</v>
      </c>
      <c r="B72" s="116"/>
      <c r="C72" s="116"/>
      <c r="D72" s="116"/>
      <c r="E72" s="125">
        <f t="shared" si="37"/>
        <v>0</v>
      </c>
      <c r="F72" s="125">
        <f t="shared" si="40"/>
        <v>0</v>
      </c>
      <c r="G72" s="125">
        <f t="shared" si="42"/>
        <v>0</v>
      </c>
      <c r="H72" s="125">
        <f t="shared" si="42"/>
        <v>0</v>
      </c>
      <c r="I72" s="125">
        <f t="shared" si="42"/>
        <v>0</v>
      </c>
      <c r="J72" s="125">
        <f t="shared" si="42"/>
        <v>0</v>
      </c>
    </row>
    <row r="73" spans="1:10" ht="12" customHeight="1" x14ac:dyDescent="0.25">
      <c r="A73" s="27" t="s">
        <v>250</v>
      </c>
      <c r="B73" s="141"/>
      <c r="C73" s="141"/>
      <c r="D73" s="141"/>
      <c r="E73" s="140">
        <f t="shared" si="37"/>
        <v>0</v>
      </c>
      <c r="F73" s="140">
        <f t="shared" si="40"/>
        <v>0</v>
      </c>
      <c r="G73" s="140">
        <f t="shared" si="42"/>
        <v>0</v>
      </c>
      <c r="H73" s="140">
        <f t="shared" si="42"/>
        <v>0</v>
      </c>
      <c r="I73" s="140">
        <f t="shared" si="42"/>
        <v>0</v>
      </c>
      <c r="J73" s="140">
        <f t="shared" si="42"/>
        <v>0</v>
      </c>
    </row>
    <row r="74" spans="1:10" ht="12" customHeight="1" x14ac:dyDescent="0.25">
      <c r="A74" s="26" t="s">
        <v>251</v>
      </c>
      <c r="B74" s="122">
        <f>SUM(B67:B73)</f>
        <v>0</v>
      </c>
      <c r="C74" s="122">
        <f t="shared" ref="C74:J74" si="43">SUM(C67:C73)</f>
        <v>0</v>
      </c>
      <c r="D74" s="122">
        <f t="shared" si="43"/>
        <v>0</v>
      </c>
      <c r="E74" s="122">
        <f t="shared" si="43"/>
        <v>0</v>
      </c>
      <c r="F74" s="122">
        <f t="shared" si="43"/>
        <v>0</v>
      </c>
      <c r="G74" s="122">
        <f t="shared" si="43"/>
        <v>0</v>
      </c>
      <c r="H74" s="122">
        <f t="shared" si="43"/>
        <v>0</v>
      </c>
      <c r="I74" s="122">
        <f t="shared" si="43"/>
        <v>0</v>
      </c>
      <c r="J74" s="122">
        <f t="shared" si="43"/>
        <v>0</v>
      </c>
    </row>
    <row r="75" spans="1:10" ht="12" customHeight="1" x14ac:dyDescent="0.25">
      <c r="B75" s="122"/>
      <c r="C75" s="122"/>
      <c r="D75" s="122"/>
      <c r="E75" s="122"/>
      <c r="F75" s="122"/>
      <c r="G75" s="122"/>
      <c r="H75" s="122"/>
      <c r="I75" s="122"/>
      <c r="J75" s="122"/>
    </row>
    <row r="76" spans="1:10" ht="12" customHeight="1" x14ac:dyDescent="0.25">
      <c r="A76" s="111" t="s">
        <v>252</v>
      </c>
      <c r="B76" s="116"/>
      <c r="C76" s="116"/>
      <c r="D76" s="116"/>
      <c r="E76" s="122">
        <f>'Invoer algemeen en balans'!E54-'Invoer algemeen en balans'!D54</f>
        <v>0</v>
      </c>
      <c r="F76" s="122">
        <f>'Invoer algemeen en balans'!F54-'Invoer algemeen en balans'!E54</f>
        <v>0</v>
      </c>
      <c r="G76" s="122">
        <f>'Invoer algemeen en balans'!G54-'Invoer algemeen en balans'!F54</f>
        <v>0</v>
      </c>
      <c r="H76" s="122">
        <f>'Invoer algemeen en balans'!H54-'Invoer algemeen en balans'!G54</f>
        <v>0</v>
      </c>
      <c r="I76" s="122">
        <f>'Invoer algemeen en balans'!I54-'Invoer algemeen en balans'!H54</f>
        <v>0</v>
      </c>
      <c r="J76" s="122">
        <f>'Invoer algemeen en balans'!J54-'Invoer algemeen en balans'!I54</f>
        <v>0</v>
      </c>
    </row>
    <row r="77" spans="1:10" ht="12" customHeight="1" x14ac:dyDescent="0.25">
      <c r="B77" s="122"/>
      <c r="C77" s="122"/>
      <c r="D77" s="122"/>
      <c r="E77" s="122"/>
      <c r="F77" s="122"/>
      <c r="G77" s="122"/>
      <c r="H77" s="122"/>
      <c r="I77" s="122"/>
      <c r="J77" s="122"/>
    </row>
    <row r="78" spans="1:10" ht="12" customHeight="1" x14ac:dyDescent="0.25">
      <c r="A78" s="26" t="s">
        <v>253</v>
      </c>
      <c r="B78" s="122">
        <f>B47+B54+B60+B66+B74+B76</f>
        <v>0</v>
      </c>
      <c r="C78" s="122">
        <f>C47+C54+C60+C66+C74+C76</f>
        <v>0</v>
      </c>
      <c r="D78" s="122">
        <f>D47+D54+D60+D66+D74+D76</f>
        <v>0</v>
      </c>
      <c r="E78" s="122">
        <f t="shared" ref="E78:J78" si="44">E47+E54+E60+E66+E74+E76</f>
        <v>0</v>
      </c>
      <c r="F78" s="122">
        <f t="shared" si="44"/>
        <v>0</v>
      </c>
      <c r="G78" s="122">
        <f t="shared" si="44"/>
        <v>0</v>
      </c>
      <c r="H78" s="122">
        <f t="shared" si="44"/>
        <v>0</v>
      </c>
      <c r="I78" s="122">
        <f t="shared" si="44"/>
        <v>0</v>
      </c>
      <c r="J78" s="122">
        <f t="shared" si="44"/>
        <v>0</v>
      </c>
    </row>
    <row r="79" spans="1:10" ht="12" customHeight="1" x14ac:dyDescent="0.25">
      <c r="A79" s="87"/>
      <c r="B79" s="128"/>
      <c r="C79" s="128"/>
      <c r="D79" s="128"/>
      <c r="E79" s="128"/>
      <c r="F79" s="128"/>
      <c r="G79" s="128"/>
      <c r="H79" s="128"/>
      <c r="I79" s="128"/>
      <c r="J79" s="128"/>
    </row>
    <row r="80" spans="1:10" ht="12" customHeight="1" x14ac:dyDescent="0.25">
      <c r="A80" s="87" t="s">
        <v>254</v>
      </c>
      <c r="B80" s="128">
        <f>B35-B78</f>
        <v>0</v>
      </c>
      <c r="C80" s="128">
        <f t="shared" ref="C80:J80" si="45">C35-C78</f>
        <v>0</v>
      </c>
      <c r="D80" s="128">
        <f t="shared" si="45"/>
        <v>0</v>
      </c>
      <c r="E80" s="128">
        <f t="shared" si="45"/>
        <v>0</v>
      </c>
      <c r="F80" s="128">
        <f t="shared" si="45"/>
        <v>0</v>
      </c>
      <c r="G80" s="128">
        <f t="shared" si="45"/>
        <v>0</v>
      </c>
      <c r="H80" s="128">
        <f t="shared" si="45"/>
        <v>0</v>
      </c>
      <c r="I80" s="128">
        <f t="shared" si="45"/>
        <v>0</v>
      </c>
      <c r="J80" s="128">
        <f t="shared" si="45"/>
        <v>0</v>
      </c>
    </row>
    <row r="81" spans="1:10" ht="12" customHeight="1" x14ac:dyDescent="0.25">
      <c r="A81" s="87"/>
      <c r="B81" s="128"/>
      <c r="C81" s="128"/>
      <c r="D81" s="128"/>
      <c r="E81" s="128"/>
      <c r="F81" s="128"/>
      <c r="G81" s="128"/>
      <c r="H81" s="128"/>
      <c r="I81" s="128"/>
      <c r="J81" s="128"/>
    </row>
    <row r="82" spans="1:10" ht="12" customHeight="1" x14ac:dyDescent="0.25">
      <c r="A82" s="26" t="s">
        <v>255</v>
      </c>
      <c r="B82" s="116"/>
      <c r="C82" s="116"/>
      <c r="D82" s="116"/>
      <c r="E82" s="116">
        <f t="shared" ref="E82:J82" si="46">D82</f>
        <v>0</v>
      </c>
      <c r="F82" s="116">
        <f t="shared" si="46"/>
        <v>0</v>
      </c>
      <c r="G82" s="116">
        <f t="shared" si="46"/>
        <v>0</v>
      </c>
      <c r="H82" s="116">
        <f t="shared" si="46"/>
        <v>0</v>
      </c>
      <c r="I82" s="116">
        <f t="shared" si="46"/>
        <v>0</v>
      </c>
      <c r="J82" s="116">
        <f t="shared" si="46"/>
        <v>0</v>
      </c>
    </row>
    <row r="83" spans="1:10" ht="12" customHeight="1" x14ac:dyDescent="0.25">
      <c r="A83" s="87"/>
      <c r="B83" s="128"/>
      <c r="C83" s="128"/>
      <c r="D83" s="128"/>
      <c r="E83" s="128"/>
      <c r="F83" s="128"/>
      <c r="G83" s="128"/>
      <c r="H83" s="128"/>
      <c r="I83" s="128"/>
      <c r="J83" s="128"/>
    </row>
    <row r="84" spans="1:10" ht="12" customHeight="1" x14ac:dyDescent="0.25">
      <c r="A84" s="26" t="s">
        <v>256</v>
      </c>
      <c r="B84" s="116"/>
      <c r="C84" s="116"/>
      <c r="D84" s="116"/>
      <c r="E84" s="116">
        <f t="shared" ref="E84:J84" si="47">D84</f>
        <v>0</v>
      </c>
      <c r="F84" s="116">
        <f t="shared" si="47"/>
        <v>0</v>
      </c>
      <c r="G84" s="116">
        <f t="shared" si="47"/>
        <v>0</v>
      </c>
      <c r="H84" s="116">
        <f t="shared" si="47"/>
        <v>0</v>
      </c>
      <c r="I84" s="116">
        <f t="shared" si="47"/>
        <v>0</v>
      </c>
      <c r="J84" s="116">
        <f t="shared" si="47"/>
        <v>0</v>
      </c>
    </row>
    <row r="85" spans="1:10" ht="12" customHeight="1" x14ac:dyDescent="0.25">
      <c r="A85" s="26" t="s">
        <v>257</v>
      </c>
      <c r="B85" s="116"/>
      <c r="C85" s="116"/>
      <c r="D85" s="116"/>
      <c r="E85" s="116">
        <f t="shared" ref="E85:J87" si="48">D85</f>
        <v>0</v>
      </c>
      <c r="F85" s="116">
        <f t="shared" si="48"/>
        <v>0</v>
      </c>
      <c r="G85" s="116">
        <f t="shared" si="48"/>
        <v>0</v>
      </c>
      <c r="H85" s="116">
        <f t="shared" si="48"/>
        <v>0</v>
      </c>
      <c r="I85" s="116">
        <f t="shared" si="48"/>
        <v>0</v>
      </c>
      <c r="J85" s="116">
        <f t="shared" si="48"/>
        <v>0</v>
      </c>
    </row>
    <row r="86" spans="1:10" ht="12" customHeight="1" x14ac:dyDescent="0.25">
      <c r="A86" s="26" t="s">
        <v>258</v>
      </c>
      <c r="B86" s="116"/>
      <c r="C86" s="116"/>
      <c r="D86" s="116"/>
      <c r="E86" s="116">
        <f t="shared" si="48"/>
        <v>0</v>
      </c>
      <c r="F86" s="116">
        <f t="shared" si="48"/>
        <v>0</v>
      </c>
      <c r="G86" s="116">
        <f t="shared" si="48"/>
        <v>0</v>
      </c>
      <c r="H86" s="116">
        <f t="shared" si="48"/>
        <v>0</v>
      </c>
      <c r="I86" s="116">
        <f t="shared" si="48"/>
        <v>0</v>
      </c>
      <c r="J86" s="116">
        <f t="shared" si="48"/>
        <v>0</v>
      </c>
    </row>
    <row r="87" spans="1:10" ht="12" customHeight="1" x14ac:dyDescent="0.25">
      <c r="A87" s="26" t="s">
        <v>259</v>
      </c>
      <c r="B87" s="141"/>
      <c r="C87" s="141"/>
      <c r="D87" s="141"/>
      <c r="E87" s="116">
        <f t="shared" si="48"/>
        <v>0</v>
      </c>
      <c r="F87" s="116">
        <f t="shared" si="48"/>
        <v>0</v>
      </c>
      <c r="G87" s="116">
        <f t="shared" si="48"/>
        <v>0</v>
      </c>
      <c r="H87" s="116">
        <f t="shared" si="48"/>
        <v>0</v>
      </c>
      <c r="I87" s="116">
        <f t="shared" si="48"/>
        <v>0</v>
      </c>
      <c r="J87" s="116">
        <f t="shared" si="48"/>
        <v>0</v>
      </c>
    </row>
    <row r="88" spans="1:10" ht="12" customHeight="1" x14ac:dyDescent="0.25">
      <c r="A88" s="26" t="s">
        <v>260</v>
      </c>
      <c r="B88" s="142">
        <f>B82+SUM(B84:B87)</f>
        <v>0</v>
      </c>
      <c r="C88" s="142">
        <f t="shared" ref="C88:J88" si="49">C82+SUM(C84:C87)</f>
        <v>0</v>
      </c>
      <c r="D88" s="142">
        <f t="shared" si="49"/>
        <v>0</v>
      </c>
      <c r="E88" s="142">
        <f t="shared" si="49"/>
        <v>0</v>
      </c>
      <c r="F88" s="142">
        <f t="shared" si="49"/>
        <v>0</v>
      </c>
      <c r="G88" s="142">
        <f t="shared" si="49"/>
        <v>0</v>
      </c>
      <c r="H88" s="142">
        <f t="shared" si="49"/>
        <v>0</v>
      </c>
      <c r="I88" s="142">
        <f t="shared" si="49"/>
        <v>0</v>
      </c>
      <c r="J88" s="142">
        <f t="shared" si="49"/>
        <v>0</v>
      </c>
    </row>
    <row r="89" spans="1:10" ht="12" customHeight="1" x14ac:dyDescent="0.25">
      <c r="B89" s="112"/>
      <c r="C89" s="112"/>
      <c r="D89" s="112"/>
      <c r="E89" s="122"/>
      <c r="F89" s="122"/>
      <c r="G89" s="122"/>
      <c r="H89" s="122"/>
      <c r="I89" s="122"/>
      <c r="J89" s="122"/>
    </row>
    <row r="90" spans="1:10" ht="12" customHeight="1" x14ac:dyDescent="0.25">
      <c r="A90" s="26" t="s">
        <v>261</v>
      </c>
      <c r="B90" s="112">
        <f>B80-B82</f>
        <v>0</v>
      </c>
      <c r="C90" s="112">
        <f t="shared" ref="C90:J90" si="50">C80-C82</f>
        <v>0</v>
      </c>
      <c r="D90" s="112">
        <f t="shared" si="50"/>
        <v>0</v>
      </c>
      <c r="E90" s="112">
        <f t="shared" si="50"/>
        <v>0</v>
      </c>
      <c r="F90" s="112">
        <f t="shared" si="50"/>
        <v>0</v>
      </c>
      <c r="G90" s="112">
        <f t="shared" si="50"/>
        <v>0</v>
      </c>
      <c r="H90" s="112">
        <f t="shared" si="50"/>
        <v>0</v>
      </c>
      <c r="I90" s="112">
        <f t="shared" si="50"/>
        <v>0</v>
      </c>
      <c r="J90" s="112">
        <f t="shared" si="50"/>
        <v>0</v>
      </c>
    </row>
    <row r="91" spans="1:10" ht="12" customHeight="1" x14ac:dyDescent="0.25">
      <c r="A91" s="26" t="s">
        <v>262</v>
      </c>
      <c r="B91" s="122">
        <f>B80-B88</f>
        <v>0</v>
      </c>
      <c r="C91" s="122">
        <f t="shared" ref="C91:J91" si="51">C80-C88</f>
        <v>0</v>
      </c>
      <c r="D91" s="122">
        <f t="shared" si="51"/>
        <v>0</v>
      </c>
      <c r="E91" s="122">
        <f t="shared" si="51"/>
        <v>0</v>
      </c>
      <c r="F91" s="122">
        <f t="shared" si="51"/>
        <v>0</v>
      </c>
      <c r="G91" s="122">
        <f t="shared" si="51"/>
        <v>0</v>
      </c>
      <c r="H91" s="122">
        <f t="shared" si="51"/>
        <v>0</v>
      </c>
      <c r="I91" s="122">
        <f t="shared" si="51"/>
        <v>0</v>
      </c>
      <c r="J91" s="122">
        <f t="shared" si="51"/>
        <v>0</v>
      </c>
    </row>
    <row r="92" spans="1:10" ht="12" customHeight="1" x14ac:dyDescent="0.25">
      <c r="B92" s="122"/>
      <c r="C92" s="122"/>
      <c r="D92" s="122"/>
      <c r="E92" s="122"/>
      <c r="F92" s="122"/>
      <c r="G92" s="122"/>
      <c r="H92" s="122"/>
      <c r="I92" s="122"/>
      <c r="J92" s="122"/>
    </row>
    <row r="93" spans="1:10" ht="12" customHeight="1" x14ac:dyDescent="0.25">
      <c r="A93" s="26" t="s">
        <v>263</v>
      </c>
      <c r="B93" s="141"/>
      <c r="C93" s="141"/>
      <c r="D93" s="141"/>
      <c r="E93" s="134">
        <f>-('Invoer algemeen en balans'!D55+'Invoer algemeen en balans'!D56)*'Invoer algemeen en balans'!$D$6</f>
        <v>0</v>
      </c>
      <c r="F93" s="134">
        <f>-('Invoer algemeen en balans'!E55+'Invoer algemeen en balans'!E56)*'Invoer algemeen en balans'!$D$6</f>
        <v>0</v>
      </c>
      <c r="G93" s="134">
        <f>-('Invoer algemeen en balans'!F55+'Invoer algemeen en balans'!F56)*'Invoer algemeen en balans'!$D$6</f>
        <v>0</v>
      </c>
      <c r="H93" s="134">
        <f>-('Invoer algemeen en balans'!G55+'Invoer algemeen en balans'!G56)*'Invoer algemeen en balans'!$D$6</f>
        <v>0</v>
      </c>
      <c r="I93" s="134">
        <f>-('Invoer algemeen en balans'!H55+'Invoer algemeen en balans'!H56)*'Invoer algemeen en balans'!$D$6</f>
        <v>0</v>
      </c>
      <c r="J93" s="134">
        <f>-('Invoer algemeen en balans'!I55+'Invoer algemeen en balans'!I56)*'Invoer algemeen en balans'!$D$6</f>
        <v>0</v>
      </c>
    </row>
    <row r="94" spans="1:10" ht="12" customHeight="1" x14ac:dyDescent="0.25">
      <c r="A94" s="26" t="s">
        <v>264</v>
      </c>
      <c r="B94" s="122">
        <f t="shared" ref="B94:J94" si="52">B91+B93</f>
        <v>0</v>
      </c>
      <c r="C94" s="122">
        <f t="shared" si="52"/>
        <v>0</v>
      </c>
      <c r="D94" s="122">
        <f t="shared" si="52"/>
        <v>0</v>
      </c>
      <c r="E94" s="122">
        <f t="shared" si="52"/>
        <v>0</v>
      </c>
      <c r="F94" s="122">
        <f t="shared" si="52"/>
        <v>0</v>
      </c>
      <c r="G94" s="122">
        <f t="shared" si="52"/>
        <v>0</v>
      </c>
      <c r="H94" s="122">
        <f t="shared" si="52"/>
        <v>0</v>
      </c>
      <c r="I94" s="122">
        <f t="shared" si="52"/>
        <v>0</v>
      </c>
      <c r="J94" s="122">
        <f t="shared" si="52"/>
        <v>0</v>
      </c>
    </row>
    <row r="95" spans="1:10" ht="12" customHeight="1" x14ac:dyDescent="0.3">
      <c r="A95" s="34" t="s">
        <v>265</v>
      </c>
      <c r="B95" s="122"/>
      <c r="C95" s="122"/>
      <c r="D95" s="122"/>
      <c r="E95" s="116">
        <v>0</v>
      </c>
      <c r="F95" s="116">
        <v>0</v>
      </c>
      <c r="G95" s="116">
        <v>0</v>
      </c>
      <c r="H95" s="116">
        <v>0</v>
      </c>
      <c r="I95" s="116">
        <v>0</v>
      </c>
      <c r="J95" s="116">
        <f>I95</f>
        <v>0</v>
      </c>
    </row>
    <row r="96" spans="1:10" ht="12" customHeight="1" x14ac:dyDescent="0.3">
      <c r="A96" s="34" t="s">
        <v>266</v>
      </c>
      <c r="B96" s="40"/>
      <c r="C96" s="40"/>
      <c r="D96" s="40"/>
      <c r="E96" s="105">
        <v>0.19</v>
      </c>
      <c r="F96" s="105">
        <v>0.19</v>
      </c>
      <c r="G96" s="105">
        <v>0.19</v>
      </c>
      <c r="H96" s="105">
        <v>0.19</v>
      </c>
      <c r="I96" s="105">
        <v>0.19</v>
      </c>
      <c r="J96" s="105">
        <v>0.19</v>
      </c>
    </row>
    <row r="97" spans="1:256" ht="12" customHeight="1" x14ac:dyDescent="0.3">
      <c r="A97" s="34" t="s">
        <v>267</v>
      </c>
      <c r="B97" s="40"/>
      <c r="C97" s="40"/>
      <c r="D97" s="40"/>
      <c r="E97" s="33">
        <v>200</v>
      </c>
      <c r="F97" s="33">
        <f>E97</f>
        <v>200</v>
      </c>
      <c r="G97" s="33">
        <f>F97</f>
        <v>200</v>
      </c>
      <c r="H97" s="33">
        <f t="shared" ref="H97:I97" si="53">G97</f>
        <v>200</v>
      </c>
      <c r="I97" s="33">
        <f t="shared" si="53"/>
        <v>200</v>
      </c>
      <c r="J97" s="33">
        <f>I97</f>
        <v>200</v>
      </c>
    </row>
    <row r="98" spans="1:256" ht="12" customHeight="1" x14ac:dyDescent="0.3">
      <c r="A98" s="34" t="s">
        <v>268</v>
      </c>
      <c r="B98" s="40"/>
      <c r="C98" s="40"/>
      <c r="D98" s="40"/>
      <c r="E98" s="105">
        <v>0.25800000000000001</v>
      </c>
      <c r="F98" s="105">
        <v>0.25800000000000001</v>
      </c>
      <c r="G98" s="105">
        <v>0.25800000000000001</v>
      </c>
      <c r="H98" s="105">
        <v>0.25800000000000001</v>
      </c>
      <c r="I98" s="105">
        <v>0.25800000000000001</v>
      </c>
      <c r="J98" s="105">
        <v>0.25800000000000001</v>
      </c>
    </row>
    <row r="99" spans="1:256" ht="12" customHeight="1" x14ac:dyDescent="0.25">
      <c r="A99" s="2" t="s">
        <v>269</v>
      </c>
      <c r="B99" s="35" t="str">
        <f>IF(B100="","",-B100/B94)</f>
        <v/>
      </c>
      <c r="C99" s="35" t="str">
        <f>IF(C100="","",-C100/C94)</f>
        <v/>
      </c>
      <c r="D99" s="35" t="str">
        <f>IF(D100="","",-D100/D94)</f>
        <v/>
      </c>
      <c r="E99" s="35" t="str">
        <f t="shared" ref="E99:J99" si="54">IF(E100=0,"",-E100/E94)</f>
        <v/>
      </c>
      <c r="F99" s="35" t="str">
        <f t="shared" si="54"/>
        <v/>
      </c>
      <c r="G99" s="35" t="str">
        <f t="shared" si="54"/>
        <v/>
      </c>
      <c r="H99" s="35" t="str">
        <f t="shared" si="54"/>
        <v/>
      </c>
      <c r="I99" s="35" t="str">
        <f t="shared" si="54"/>
        <v/>
      </c>
      <c r="J99" s="35" t="str">
        <f t="shared" si="54"/>
        <v/>
      </c>
    </row>
    <row r="100" spans="1:256" ht="12" customHeight="1" x14ac:dyDescent="0.25">
      <c r="A100" s="2" t="s">
        <v>270</v>
      </c>
      <c r="B100" s="143"/>
      <c r="C100" s="143"/>
      <c r="D100" s="143"/>
      <c r="E100" s="134">
        <f t="shared" ref="E100:J100" si="55">-IF(E94+E95-E97&lt;0,(E94+E95)*E96,(E94+E95-E97)*E98+E97*E96)</f>
        <v>0</v>
      </c>
      <c r="F100" s="134">
        <f t="shared" si="55"/>
        <v>0</v>
      </c>
      <c r="G100" s="134">
        <f t="shared" si="55"/>
        <v>0</v>
      </c>
      <c r="H100" s="134">
        <f t="shared" si="55"/>
        <v>0</v>
      </c>
      <c r="I100" s="134">
        <f t="shared" si="55"/>
        <v>0</v>
      </c>
      <c r="J100" s="134">
        <f t="shared" si="55"/>
        <v>0</v>
      </c>
    </row>
    <row r="101" spans="1:256" ht="12" customHeight="1" x14ac:dyDescent="0.25">
      <c r="A101" s="2" t="s">
        <v>271</v>
      </c>
      <c r="B101" s="144">
        <f>B94+B100</f>
        <v>0</v>
      </c>
      <c r="C101" s="144">
        <f>C94+C100</f>
        <v>0</v>
      </c>
      <c r="D101" s="144">
        <f>D94+D100</f>
        <v>0</v>
      </c>
      <c r="E101" s="122">
        <f t="shared" ref="E101:J101" si="56">+E94+E100</f>
        <v>0</v>
      </c>
      <c r="F101" s="122">
        <f t="shared" si="56"/>
        <v>0</v>
      </c>
      <c r="G101" s="122">
        <f t="shared" si="56"/>
        <v>0</v>
      </c>
      <c r="H101" s="122">
        <f t="shared" si="56"/>
        <v>0</v>
      </c>
      <c r="I101" s="122">
        <f t="shared" si="56"/>
        <v>0</v>
      </c>
      <c r="J101" s="122">
        <f t="shared" si="56"/>
        <v>0</v>
      </c>
    </row>
    <row r="102" spans="1:256" ht="12" customHeight="1" x14ac:dyDescent="0.25"/>
    <row r="103" spans="1:256" ht="12" customHeight="1" x14ac:dyDescent="0.25">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row>
    <row r="104" spans="1:256" x14ac:dyDescent="0.25"/>
    <row r="105" spans="1:256" x14ac:dyDescent="0.25"/>
    <row r="106" spans="1:256" x14ac:dyDescent="0.25"/>
    <row r="113" spans="11:256" hidden="1" x14ac:dyDescent="0.25">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1"/>
      <c r="BJ113" s="91"/>
      <c r="BK113" s="91"/>
      <c r="BL113" s="91"/>
      <c r="BM113" s="91"/>
      <c r="BN113" s="91"/>
      <c r="BO113" s="91"/>
      <c r="BP113" s="91"/>
      <c r="BQ113" s="91"/>
      <c r="BR113" s="91"/>
      <c r="BS113" s="91"/>
      <c r="BT113" s="91"/>
      <c r="BU113" s="91"/>
      <c r="BV113" s="91"/>
      <c r="BW113" s="91"/>
      <c r="BX113" s="91"/>
      <c r="BY113" s="91"/>
      <c r="BZ113" s="91"/>
      <c r="CA113" s="91"/>
      <c r="CB113" s="91"/>
      <c r="CC113" s="91"/>
      <c r="CD113" s="91"/>
      <c r="CE113" s="91"/>
      <c r="CF113" s="91"/>
      <c r="CG113" s="91"/>
      <c r="CH113" s="91"/>
      <c r="CI113" s="91"/>
      <c r="CJ113" s="91"/>
      <c r="CK113" s="91"/>
      <c r="CL113" s="91"/>
      <c r="CM113" s="91"/>
      <c r="CN113" s="91"/>
      <c r="CO113" s="91"/>
      <c r="CP113" s="91"/>
      <c r="CQ113" s="91"/>
      <c r="CR113" s="91"/>
      <c r="CS113" s="91"/>
      <c r="CT113" s="91"/>
      <c r="CU113" s="91"/>
      <c r="CV113" s="91"/>
      <c r="CW113" s="91"/>
      <c r="CX113" s="91"/>
      <c r="CY113" s="91"/>
      <c r="CZ113" s="91"/>
      <c r="DA113" s="91"/>
      <c r="DB113" s="91"/>
      <c r="DC113" s="91"/>
      <c r="DD113" s="91"/>
      <c r="DE113" s="91"/>
      <c r="DF113" s="91"/>
      <c r="DG113" s="91"/>
      <c r="DH113" s="91"/>
      <c r="DI113" s="91"/>
      <c r="DJ113" s="91"/>
      <c r="DK113" s="91"/>
      <c r="DL113" s="91"/>
      <c r="DM113" s="91"/>
      <c r="DN113" s="91"/>
      <c r="DO113" s="91"/>
      <c r="DP113" s="91"/>
      <c r="DQ113" s="91"/>
      <c r="DR113" s="91"/>
      <c r="DS113" s="91"/>
      <c r="DT113" s="91"/>
      <c r="DU113" s="91"/>
      <c r="DV113" s="91"/>
      <c r="DW113" s="91"/>
      <c r="DX113" s="91"/>
      <c r="DY113" s="91"/>
      <c r="DZ113" s="91"/>
      <c r="EA113" s="91"/>
      <c r="EB113" s="91"/>
      <c r="EC113" s="91"/>
      <c r="ED113" s="91"/>
      <c r="EE113" s="91"/>
      <c r="EF113" s="91"/>
      <c r="EG113" s="91"/>
      <c r="EH113" s="91"/>
      <c r="EI113" s="91"/>
      <c r="EJ113" s="91"/>
      <c r="EK113" s="91"/>
      <c r="EL113" s="91"/>
      <c r="EM113" s="91"/>
      <c r="EN113" s="91"/>
      <c r="EO113" s="91"/>
      <c r="EP113" s="91"/>
      <c r="EQ113" s="91"/>
      <c r="ER113" s="91"/>
      <c r="ES113" s="91"/>
      <c r="ET113" s="91"/>
      <c r="EU113" s="91"/>
      <c r="EV113" s="91"/>
      <c r="EW113" s="91"/>
      <c r="EX113" s="91"/>
      <c r="EY113" s="91"/>
      <c r="EZ113" s="91"/>
      <c r="FA113" s="91"/>
      <c r="FB113" s="91"/>
      <c r="FC113" s="91"/>
      <c r="FD113" s="91"/>
      <c r="FE113" s="91"/>
      <c r="FF113" s="91"/>
      <c r="FG113" s="91"/>
      <c r="FH113" s="91"/>
      <c r="FI113" s="91"/>
      <c r="FJ113" s="91"/>
      <c r="FK113" s="91"/>
      <c r="FL113" s="91"/>
      <c r="FM113" s="91"/>
      <c r="FN113" s="91"/>
      <c r="FO113" s="91"/>
      <c r="FP113" s="91"/>
      <c r="FQ113" s="91"/>
      <c r="FR113" s="91"/>
      <c r="FS113" s="91"/>
      <c r="FT113" s="91"/>
      <c r="FU113" s="91"/>
      <c r="FV113" s="91"/>
      <c r="FW113" s="91"/>
      <c r="FX113" s="91"/>
      <c r="FY113" s="91"/>
      <c r="FZ113" s="91"/>
      <c r="GA113" s="91"/>
      <c r="GB113" s="91"/>
      <c r="GC113" s="91"/>
      <c r="GD113" s="91"/>
      <c r="GE113" s="91"/>
      <c r="GF113" s="91"/>
      <c r="GG113" s="91"/>
      <c r="GH113" s="91"/>
      <c r="GI113" s="91"/>
      <c r="GJ113" s="91"/>
      <c r="GK113" s="91"/>
      <c r="GL113" s="91"/>
      <c r="GM113" s="91"/>
      <c r="GN113" s="91"/>
      <c r="GO113" s="91"/>
      <c r="GP113" s="91"/>
      <c r="GQ113" s="91"/>
      <c r="GR113" s="91"/>
      <c r="GS113" s="91"/>
      <c r="GT113" s="91"/>
      <c r="GU113" s="91"/>
      <c r="GV113" s="91"/>
      <c r="GW113" s="91"/>
      <c r="GX113" s="91"/>
      <c r="GY113" s="91"/>
      <c r="GZ113" s="91"/>
      <c r="HA113" s="91"/>
      <c r="HB113" s="91"/>
      <c r="HC113" s="91"/>
      <c r="HD113" s="91"/>
      <c r="HE113" s="91"/>
      <c r="HF113" s="91"/>
      <c r="HG113" s="91"/>
      <c r="HH113" s="91"/>
      <c r="HI113" s="91"/>
      <c r="HJ113" s="91"/>
      <c r="HK113" s="91"/>
      <c r="HL113" s="91"/>
      <c r="HM113" s="91"/>
      <c r="HN113" s="91"/>
      <c r="HO113" s="91"/>
      <c r="HP113" s="91"/>
      <c r="HQ113" s="91"/>
      <c r="HR113" s="91"/>
      <c r="HS113" s="91"/>
      <c r="HT113" s="91"/>
      <c r="HU113" s="91"/>
      <c r="HV113" s="91"/>
      <c r="HW113" s="91"/>
      <c r="HX113" s="91"/>
      <c r="HY113" s="91"/>
      <c r="HZ113" s="91"/>
      <c r="IA113" s="91"/>
      <c r="IB113" s="91"/>
      <c r="IC113" s="91"/>
      <c r="ID113" s="91"/>
      <c r="IE113" s="91"/>
      <c r="IF113" s="91"/>
      <c r="IG113" s="91"/>
      <c r="IH113" s="91"/>
      <c r="II113" s="91"/>
      <c r="IJ113" s="91"/>
      <c r="IK113" s="91"/>
      <c r="IL113" s="91"/>
      <c r="IM113" s="91"/>
      <c r="IN113" s="91"/>
      <c r="IO113" s="91"/>
      <c r="IP113" s="91"/>
      <c r="IQ113" s="91"/>
      <c r="IR113" s="91"/>
      <c r="IS113" s="91"/>
      <c r="IT113" s="91"/>
      <c r="IU113" s="91"/>
      <c r="IV113" s="91"/>
    </row>
    <row r="114" spans="11:256" hidden="1" x14ac:dyDescent="0.25">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c r="BP114" s="91"/>
      <c r="BQ114" s="91"/>
      <c r="BR114" s="91"/>
      <c r="BS114" s="91"/>
      <c r="BT114" s="91"/>
      <c r="BU114" s="91"/>
      <c r="BV114" s="91"/>
      <c r="BW114" s="91"/>
      <c r="BX114" s="91"/>
      <c r="BY114" s="91"/>
      <c r="BZ114" s="91"/>
      <c r="CA114" s="91"/>
      <c r="CB114" s="91"/>
      <c r="CC114" s="91"/>
      <c r="CD114" s="91"/>
      <c r="CE114" s="91"/>
      <c r="CF114" s="91"/>
      <c r="CG114" s="91"/>
      <c r="CH114" s="91"/>
      <c r="CI114" s="91"/>
      <c r="CJ114" s="91"/>
      <c r="CK114" s="91"/>
      <c r="CL114" s="91"/>
      <c r="CM114" s="91"/>
      <c r="CN114" s="91"/>
      <c r="CO114" s="91"/>
      <c r="CP114" s="91"/>
      <c r="CQ114" s="91"/>
      <c r="CR114" s="91"/>
      <c r="CS114" s="91"/>
      <c r="CT114" s="91"/>
      <c r="CU114" s="91"/>
      <c r="CV114" s="91"/>
      <c r="CW114" s="91"/>
      <c r="CX114" s="91"/>
      <c r="CY114" s="91"/>
      <c r="CZ114" s="91"/>
      <c r="DA114" s="91"/>
      <c r="DB114" s="91"/>
      <c r="DC114" s="91"/>
      <c r="DD114" s="91"/>
      <c r="DE114" s="91"/>
      <c r="DF114" s="91"/>
      <c r="DG114" s="91"/>
      <c r="DH114" s="91"/>
      <c r="DI114" s="91"/>
      <c r="DJ114" s="91"/>
      <c r="DK114" s="91"/>
      <c r="DL114" s="91"/>
      <c r="DM114" s="91"/>
      <c r="DN114" s="91"/>
      <c r="DO114" s="91"/>
      <c r="DP114" s="91"/>
      <c r="DQ114" s="91"/>
      <c r="DR114" s="91"/>
      <c r="DS114" s="91"/>
      <c r="DT114" s="91"/>
      <c r="DU114" s="91"/>
      <c r="DV114" s="91"/>
      <c r="DW114" s="91"/>
      <c r="DX114" s="91"/>
      <c r="DY114" s="91"/>
      <c r="DZ114" s="91"/>
      <c r="EA114" s="91"/>
      <c r="EB114" s="91"/>
      <c r="EC114" s="91"/>
      <c r="ED114" s="91"/>
      <c r="EE114" s="91"/>
      <c r="EF114" s="91"/>
      <c r="EG114" s="91"/>
      <c r="EH114" s="91"/>
      <c r="EI114" s="91"/>
      <c r="EJ114" s="91"/>
      <c r="EK114" s="91"/>
      <c r="EL114" s="91"/>
      <c r="EM114" s="91"/>
      <c r="EN114" s="91"/>
      <c r="EO114" s="91"/>
      <c r="EP114" s="91"/>
      <c r="EQ114" s="91"/>
      <c r="ER114" s="91"/>
      <c r="ES114" s="91"/>
      <c r="ET114" s="91"/>
      <c r="EU114" s="91"/>
      <c r="EV114" s="91"/>
      <c r="EW114" s="91"/>
      <c r="EX114" s="91"/>
      <c r="EY114" s="91"/>
      <c r="EZ114" s="91"/>
      <c r="FA114" s="91"/>
      <c r="FB114" s="91"/>
      <c r="FC114" s="91"/>
      <c r="FD114" s="91"/>
      <c r="FE114" s="91"/>
      <c r="FF114" s="91"/>
      <c r="FG114" s="91"/>
      <c r="FH114" s="91"/>
      <c r="FI114" s="91"/>
      <c r="FJ114" s="91"/>
      <c r="FK114" s="91"/>
      <c r="FL114" s="91"/>
      <c r="FM114" s="91"/>
      <c r="FN114" s="91"/>
      <c r="FO114" s="91"/>
      <c r="FP114" s="91"/>
      <c r="FQ114" s="91"/>
      <c r="FR114" s="91"/>
      <c r="FS114" s="91"/>
      <c r="FT114" s="91"/>
      <c r="FU114" s="91"/>
      <c r="FV114" s="91"/>
      <c r="FW114" s="91"/>
      <c r="FX114" s="91"/>
      <c r="FY114" s="91"/>
      <c r="FZ114" s="91"/>
      <c r="GA114" s="91"/>
      <c r="GB114" s="91"/>
      <c r="GC114" s="91"/>
      <c r="GD114" s="91"/>
      <c r="GE114" s="91"/>
      <c r="GF114" s="91"/>
      <c r="GG114" s="91"/>
      <c r="GH114" s="91"/>
      <c r="GI114" s="91"/>
      <c r="GJ114" s="91"/>
      <c r="GK114" s="91"/>
      <c r="GL114" s="91"/>
      <c r="GM114" s="91"/>
      <c r="GN114" s="91"/>
      <c r="GO114" s="91"/>
      <c r="GP114" s="91"/>
      <c r="GQ114" s="91"/>
      <c r="GR114" s="91"/>
      <c r="GS114" s="91"/>
      <c r="GT114" s="91"/>
      <c r="GU114" s="91"/>
      <c r="GV114" s="91"/>
      <c r="GW114" s="91"/>
      <c r="GX114" s="91"/>
      <c r="GY114" s="91"/>
      <c r="GZ114" s="91"/>
      <c r="HA114" s="91"/>
      <c r="HB114" s="91"/>
      <c r="HC114" s="91"/>
      <c r="HD114" s="91"/>
      <c r="HE114" s="91"/>
      <c r="HF114" s="91"/>
      <c r="HG114" s="91"/>
      <c r="HH114" s="91"/>
      <c r="HI114" s="91"/>
      <c r="HJ114" s="91"/>
      <c r="HK114" s="91"/>
      <c r="HL114" s="91"/>
      <c r="HM114" s="91"/>
      <c r="HN114" s="91"/>
      <c r="HO114" s="91"/>
      <c r="HP114" s="91"/>
      <c r="HQ114" s="91"/>
      <c r="HR114" s="91"/>
      <c r="HS114" s="91"/>
      <c r="HT114" s="91"/>
      <c r="HU114" s="91"/>
      <c r="HV114" s="91"/>
      <c r="HW114" s="91"/>
      <c r="HX114" s="91"/>
      <c r="HY114" s="91"/>
      <c r="HZ114" s="91"/>
      <c r="IA114" s="91"/>
      <c r="IB114" s="91"/>
      <c r="IC114" s="91"/>
      <c r="ID114" s="91"/>
      <c r="IE114" s="91"/>
      <c r="IF114" s="91"/>
      <c r="IG114" s="91"/>
      <c r="IH114" s="91"/>
      <c r="II114" s="91"/>
      <c r="IJ114" s="91"/>
      <c r="IK114" s="91"/>
      <c r="IL114" s="91"/>
      <c r="IM114" s="91"/>
      <c r="IN114" s="91"/>
      <c r="IO114" s="91"/>
      <c r="IP114" s="91"/>
      <c r="IQ114" s="91"/>
      <c r="IR114" s="91"/>
      <c r="IS114" s="91"/>
      <c r="IT114" s="91"/>
      <c r="IU114" s="91"/>
      <c r="IV114" s="91"/>
    </row>
  </sheetData>
  <sheetProtection sheet="1"/>
  <pageMargins left="0.70866141732283472" right="0.70866141732283472" top="0.74803149606299213" bottom="0.74803149606299213" header="0.31496062992125984" footer="0.31496062992125984"/>
  <pageSetup paperSize="9" scale="76" orientation="portrait" r:id="rId1"/>
  <rowBreaks count="1" manualBreakCount="1">
    <brk id="80" max="9" man="1"/>
  </rowBreaks>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IV20"/>
  <sheetViews>
    <sheetView showGridLines="0" zoomScaleNormal="100" workbookViewId="0">
      <pane ySplit="2" topLeftCell="A3" activePane="bottomLeft" state="frozen"/>
      <selection pane="bottomLeft" activeCell="J7" sqref="J7"/>
    </sheetView>
  </sheetViews>
  <sheetFormatPr defaultColWidth="0" defaultRowHeight="10.3" zeroHeight="1" x14ac:dyDescent="0.25"/>
  <cols>
    <col min="1" max="1" width="40.69140625" style="26" customWidth="1"/>
    <col min="2" max="10" width="8.84375" style="26" customWidth="1"/>
    <col min="11" max="11" width="2.15234375" style="26" customWidth="1"/>
    <col min="12" max="16384" width="0" style="26" hidden="1"/>
  </cols>
  <sheetData>
    <row r="1" spans="1:256" s="24" customFormat="1" ht="12.45" x14ac:dyDescent="0.3">
      <c r="A1" s="25" t="s">
        <v>272</v>
      </c>
      <c r="B1" s="25"/>
      <c r="C1" s="25"/>
      <c r="D1" s="25"/>
      <c r="E1" s="88"/>
      <c r="F1" s="88"/>
      <c r="G1" s="88"/>
      <c r="H1" s="88"/>
      <c r="I1" s="88"/>
      <c r="J1" s="88"/>
      <c r="K1" s="88"/>
    </row>
    <row r="2" spans="1:256" ht="12" customHeight="1" x14ac:dyDescent="0.25">
      <c r="D2" s="82"/>
      <c r="E2" s="28"/>
      <c r="F2" s="28"/>
      <c r="G2" s="28"/>
      <c r="H2" s="28"/>
      <c r="I2" s="28"/>
      <c r="J2" s="28"/>
    </row>
    <row r="3" spans="1:256" ht="12" customHeight="1" x14ac:dyDescent="0.3">
      <c r="A3" s="3" t="str">
        <f>"Vrije geldstroom             "&amp;"(bedragen x € "&amp;IF('Invoer algemeen en balans'!$D$4="x 1.000","1.000",1)&amp;")"</f>
        <v>Vrije geldstroom             (bedragen x € 1.000)</v>
      </c>
      <c r="B3" s="3"/>
      <c r="C3" s="3"/>
      <c r="D3" s="58">
        <f>'Invoer algemeen en balans'!D3</f>
        <v>2025</v>
      </c>
      <c r="E3" s="3">
        <f>'Invoer algemeen en balans'!D3+1</f>
        <v>2026</v>
      </c>
      <c r="F3" s="3">
        <f>E3+1</f>
        <v>2027</v>
      </c>
      <c r="G3" s="3">
        <f>F3+1</f>
        <v>2028</v>
      </c>
      <c r="H3" s="3">
        <f>G3+1</f>
        <v>2029</v>
      </c>
      <c r="I3" s="3">
        <f>H3+1</f>
        <v>2030</v>
      </c>
      <c r="J3" s="3">
        <f>I3+1</f>
        <v>2031</v>
      </c>
    </row>
    <row r="4" spans="1:256" ht="12" customHeight="1" x14ac:dyDescent="0.25">
      <c r="A4" s="26" t="s">
        <v>262</v>
      </c>
      <c r="D4" s="28"/>
      <c r="E4" s="28">
        <f>'Invoer exploitatie'!E91</f>
        <v>0</v>
      </c>
      <c r="F4" s="28">
        <f>'Invoer exploitatie'!F91</f>
        <v>0</v>
      </c>
      <c r="G4" s="28">
        <f>'Invoer exploitatie'!G91</f>
        <v>0</v>
      </c>
      <c r="H4" s="28">
        <f>'Invoer exploitatie'!H91</f>
        <v>0</v>
      </c>
      <c r="I4" s="28">
        <f>'Invoer exploitatie'!I91</f>
        <v>0</v>
      </c>
      <c r="J4" s="28">
        <f>'Invoer exploitatie'!J91</f>
        <v>0</v>
      </c>
    </row>
    <row r="5" spans="1:256" ht="12" customHeight="1" x14ac:dyDescent="0.25">
      <c r="A5" s="26" t="s">
        <v>273</v>
      </c>
      <c r="D5" s="40"/>
      <c r="E5" s="29">
        <f>'Invoer algemeen en balans'!E54-'Invoer algemeen en balans'!D54</f>
        <v>0</v>
      </c>
      <c r="F5" s="29">
        <f>'Invoer algemeen en balans'!F54-'Invoer algemeen en balans'!E54</f>
        <v>0</v>
      </c>
      <c r="G5" s="29">
        <f>'Invoer algemeen en balans'!G54-'Invoer algemeen en balans'!F54</f>
        <v>0</v>
      </c>
      <c r="H5" s="29">
        <f>'Invoer algemeen en balans'!H54-'Invoer algemeen en balans'!G54</f>
        <v>0</v>
      </c>
      <c r="I5" s="29">
        <f>'Invoer algemeen en balans'!I54-'Invoer algemeen en balans'!H54</f>
        <v>0</v>
      </c>
      <c r="J5" s="29">
        <f>'Invoer algemeen en balans'!J54-'Invoer algemeen en balans'!I54</f>
        <v>0</v>
      </c>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ht="12" customHeight="1" x14ac:dyDescent="0.25">
      <c r="A6" s="26" t="s">
        <v>274</v>
      </c>
      <c r="D6" s="28"/>
      <c r="E6" s="28">
        <f t="shared" ref="E6:J6" si="0">E4+E5</f>
        <v>0</v>
      </c>
      <c r="F6" s="28">
        <f t="shared" si="0"/>
        <v>0</v>
      </c>
      <c r="G6" s="28">
        <f t="shared" si="0"/>
        <v>0</v>
      </c>
      <c r="H6" s="28">
        <f t="shared" si="0"/>
        <v>0</v>
      </c>
      <c r="I6" s="28">
        <f t="shared" si="0"/>
        <v>0</v>
      </c>
      <c r="J6" s="28">
        <f t="shared" si="0"/>
        <v>0</v>
      </c>
    </row>
    <row r="7" spans="1:256" ht="12" customHeight="1" x14ac:dyDescent="0.25">
      <c r="A7" s="2" t="s">
        <v>275</v>
      </c>
      <c r="B7" s="2"/>
      <c r="C7" s="2"/>
      <c r="D7" s="35"/>
      <c r="E7" s="35" t="str">
        <f>IFERROR(E8/E4,"")</f>
        <v/>
      </c>
      <c r="F7" s="35" t="str">
        <f t="shared" ref="F7:J7" si="1">IFERROR(F8/F4,"")</f>
        <v/>
      </c>
      <c r="G7" s="35" t="str">
        <f t="shared" si="1"/>
        <v/>
      </c>
      <c r="H7" s="35" t="str">
        <f t="shared" si="1"/>
        <v/>
      </c>
      <c r="I7" s="35" t="str">
        <f t="shared" si="1"/>
        <v/>
      </c>
      <c r="J7" s="35" t="str">
        <f t="shared" si="1"/>
        <v/>
      </c>
    </row>
    <row r="8" spans="1:256" ht="12" customHeight="1" x14ac:dyDescent="0.25">
      <c r="A8" s="2" t="s">
        <v>270</v>
      </c>
      <c r="B8" s="2"/>
      <c r="C8" s="2"/>
      <c r="E8" s="29">
        <f>-IF(E4&gt;'Invoer exploitatie'!E97,E4*'Invoer exploitatie'!E98-('Invoer exploitatie'!E98-'Invoer exploitatie'!E96)*'Invoer exploitatie'!E97,E4*'Invoer exploitatie'!E96)</f>
        <v>0</v>
      </c>
      <c r="F8" s="29">
        <f>-IF(F4&gt;'Invoer exploitatie'!F97,F4*'Invoer exploitatie'!F98-('Invoer exploitatie'!F98-'Invoer exploitatie'!F96)*'Invoer exploitatie'!F97,F4*'Invoer exploitatie'!F96)</f>
        <v>0</v>
      </c>
      <c r="G8" s="29">
        <f>-IF(G4&gt;'Invoer exploitatie'!G97,G4*'Invoer exploitatie'!G98-('Invoer exploitatie'!G98-'Invoer exploitatie'!G96)*'Invoer exploitatie'!G97,G4*'Invoer exploitatie'!G96)</f>
        <v>0</v>
      </c>
      <c r="H8" s="29">
        <f>-IF(H4&gt;'Invoer exploitatie'!H97,H4*'Invoer exploitatie'!H98-('Invoer exploitatie'!H98-'Invoer exploitatie'!H96)*'Invoer exploitatie'!H97,H4*'Invoer exploitatie'!H96)</f>
        <v>0</v>
      </c>
      <c r="I8" s="29">
        <f>-IF(I4&gt;'Invoer exploitatie'!I97,I4*'Invoer exploitatie'!I98-('Invoer exploitatie'!I98-'Invoer exploitatie'!I96)*'Invoer exploitatie'!I97,I4*'Invoer exploitatie'!I96)</f>
        <v>0</v>
      </c>
      <c r="J8" s="29">
        <f>-IF(J4&gt;'Invoer exploitatie'!J97,J4*'Invoer exploitatie'!J98-('Invoer exploitatie'!J98-'Invoer exploitatie'!J96)*'Invoer exploitatie'!J97,J4*'Invoer exploitatie'!J96)</f>
        <v>0</v>
      </c>
    </row>
    <row r="9" spans="1:256" ht="12" customHeight="1" x14ac:dyDescent="0.25">
      <c r="A9" s="26" t="s">
        <v>276</v>
      </c>
      <c r="E9" s="28">
        <f t="shared" ref="E9:J9" si="2">E6+E8</f>
        <v>0</v>
      </c>
      <c r="F9" s="28">
        <f t="shared" si="2"/>
        <v>0</v>
      </c>
      <c r="G9" s="28">
        <f t="shared" si="2"/>
        <v>0</v>
      </c>
      <c r="H9" s="28">
        <f t="shared" si="2"/>
        <v>0</v>
      </c>
      <c r="I9" s="28">
        <f t="shared" si="2"/>
        <v>0</v>
      </c>
      <c r="J9" s="28">
        <f t="shared" si="2"/>
        <v>0</v>
      </c>
    </row>
    <row r="10" spans="1:256" ht="12" customHeight="1" x14ac:dyDescent="0.25">
      <c r="A10" s="26" t="s">
        <v>277</v>
      </c>
      <c r="E10" s="29">
        <f>'Invoer exploitatie'!E88</f>
        <v>0</v>
      </c>
      <c r="F10" s="29">
        <f>'Invoer exploitatie'!F88</f>
        <v>0</v>
      </c>
      <c r="G10" s="29">
        <f>'Invoer exploitatie'!G88</f>
        <v>0</v>
      </c>
      <c r="H10" s="29">
        <f>'Invoer exploitatie'!H88</f>
        <v>0</v>
      </c>
      <c r="I10" s="29">
        <f>'Invoer exploitatie'!I88</f>
        <v>0</v>
      </c>
      <c r="J10" s="29">
        <f>'Invoer exploitatie'!J88</f>
        <v>0</v>
      </c>
    </row>
    <row r="11" spans="1:256" ht="12" customHeight="1" x14ac:dyDescent="0.25">
      <c r="A11" s="26" t="s">
        <v>278</v>
      </c>
      <c r="E11" s="28">
        <f t="shared" ref="E11:J11" si="3">E9+E10</f>
        <v>0</v>
      </c>
      <c r="F11" s="28">
        <f t="shared" si="3"/>
        <v>0</v>
      </c>
      <c r="G11" s="28">
        <f t="shared" si="3"/>
        <v>0</v>
      </c>
      <c r="H11" s="28">
        <f t="shared" si="3"/>
        <v>0</v>
      </c>
      <c r="I11" s="28">
        <f t="shared" si="3"/>
        <v>0</v>
      </c>
      <c r="J11" s="28">
        <f t="shared" si="3"/>
        <v>0</v>
      </c>
    </row>
    <row r="12" spans="1:256" ht="12" customHeight="1" x14ac:dyDescent="0.25">
      <c r="A12" s="26" t="s">
        <v>279</v>
      </c>
      <c r="E12" s="28">
        <f>'Invoer algemeen en balans'!E71</f>
        <v>0</v>
      </c>
      <c r="F12" s="28">
        <f>'Invoer algemeen en balans'!F71</f>
        <v>0</v>
      </c>
      <c r="G12" s="28">
        <f>'Invoer algemeen en balans'!G71</f>
        <v>0</v>
      </c>
      <c r="H12" s="28">
        <f>'Invoer algemeen en balans'!H71</f>
        <v>0</v>
      </c>
      <c r="I12" s="28">
        <f>'Invoer algemeen en balans'!I71</f>
        <v>0</v>
      </c>
      <c r="J12" s="28">
        <f>'Invoer algemeen en balans'!J71</f>
        <v>0</v>
      </c>
    </row>
    <row r="13" spans="1:256" ht="12" customHeight="1" x14ac:dyDescent="0.25">
      <c r="A13" s="26" t="s">
        <v>280</v>
      </c>
      <c r="E13" s="29">
        <f>-'Invoer algemeen en balans'!E23-'Invoer algemeen en balans'!E27-'Invoer algemeen en balans'!E30-'Invoer algemeen en balans'!E33-'Invoer algemeen en balans'!E36</f>
        <v>0</v>
      </c>
      <c r="F13" s="29">
        <f>-'Invoer algemeen en balans'!F23-'Invoer algemeen en balans'!F27-'Invoer algemeen en balans'!F30-'Invoer algemeen en balans'!F33-'Invoer algemeen en balans'!F36</f>
        <v>0</v>
      </c>
      <c r="G13" s="29">
        <f>-'Invoer algemeen en balans'!G23-'Invoer algemeen en balans'!G27-'Invoer algemeen en balans'!G30-'Invoer algemeen en balans'!G33-'Invoer algemeen en balans'!G36</f>
        <v>0</v>
      </c>
      <c r="H13" s="29">
        <f>-'Invoer algemeen en balans'!H23-'Invoer algemeen en balans'!H27-'Invoer algemeen en balans'!H30-'Invoer algemeen en balans'!H33-'Invoer algemeen en balans'!H36</f>
        <v>0</v>
      </c>
      <c r="I13" s="29">
        <f>-'Invoer algemeen en balans'!I23-'Invoer algemeen en balans'!I27-'Invoer algemeen en balans'!I30-'Invoer algemeen en balans'!I33-'Invoer algemeen en balans'!I36</f>
        <v>0</v>
      </c>
      <c r="J13" s="29">
        <f>-'Invoer algemeen en balans'!J23-'Invoer algemeen en balans'!J27-'Invoer algemeen en balans'!J30-'Invoer algemeen en balans'!J33-'Invoer algemeen en balans'!J36</f>
        <v>0</v>
      </c>
    </row>
    <row r="14" spans="1:256" ht="12" customHeight="1" x14ac:dyDescent="0.25">
      <c r="A14" s="83" t="s">
        <v>281</v>
      </c>
      <c r="B14" s="83"/>
      <c r="C14" s="83"/>
      <c r="D14" s="83"/>
      <c r="E14" s="40">
        <f t="shared" ref="E14:J14" si="4">E11+E12+E13</f>
        <v>0</v>
      </c>
      <c r="F14" s="40">
        <f t="shared" si="4"/>
        <v>0</v>
      </c>
      <c r="G14" s="40">
        <f t="shared" si="4"/>
        <v>0</v>
      </c>
      <c r="H14" s="40">
        <f t="shared" si="4"/>
        <v>0</v>
      </c>
      <c r="I14" s="40">
        <f t="shared" si="4"/>
        <v>0</v>
      </c>
      <c r="J14" s="40">
        <f t="shared" si="4"/>
        <v>0</v>
      </c>
    </row>
    <row r="15" spans="1:256" ht="12" customHeight="1" x14ac:dyDescent="0.25">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c r="HL15" s="91"/>
      <c r="HM15" s="91"/>
      <c r="HN15" s="91"/>
      <c r="HO15" s="91"/>
      <c r="HP15" s="91"/>
      <c r="HQ15" s="91"/>
      <c r="HR15" s="91"/>
      <c r="HS15" s="91"/>
      <c r="HT15" s="91"/>
      <c r="HU15" s="91"/>
      <c r="HV15" s="91"/>
      <c r="HW15" s="91"/>
      <c r="HX15" s="91"/>
      <c r="HY15" s="91"/>
      <c r="HZ15" s="91"/>
      <c r="IA15" s="91"/>
      <c r="IB15" s="91"/>
      <c r="IC15" s="91"/>
      <c r="ID15" s="91"/>
      <c r="IE15" s="91"/>
      <c r="IF15" s="91"/>
      <c r="IG15" s="91"/>
      <c r="IH15" s="91"/>
      <c r="II15" s="91"/>
      <c r="IJ15" s="91"/>
      <c r="IK15" s="91"/>
      <c r="IL15" s="91"/>
      <c r="IM15" s="91"/>
      <c r="IN15" s="91"/>
      <c r="IO15" s="91"/>
      <c r="IP15" s="91"/>
      <c r="IQ15" s="91"/>
      <c r="IR15" s="91"/>
      <c r="IS15" s="91"/>
      <c r="IT15" s="91"/>
      <c r="IU15" s="91"/>
      <c r="IV15" s="91"/>
    </row>
    <row r="16" spans="1:256" ht="12" customHeight="1" x14ac:dyDescent="0.25">
      <c r="A16" s="272" t="str">
        <f>IFERROR(IF(E16&amp;F16&amp;G16&amp;H16&amp;I16&amp;J16="","","In de gemarkeerde kolom(men) is een jaar met een mutatie werkkapitaal &gt;5% van de waarde"),"")</f>
        <v/>
      </c>
      <c r="B16" s="272"/>
      <c r="C16" s="272"/>
      <c r="D16" s="272"/>
      <c r="E16" s="101" t="str">
        <f>IFERROR(IF(E12=0,"",IF(ABS(E12)/APV!$I$29&gt;5%,"X","")),"")</f>
        <v/>
      </c>
      <c r="F16" s="101" t="str">
        <f>IFERROR(IF(F12=0,"",IF(ABS(F12)/APV!$I$29&gt;5%,"X","")),"")</f>
        <v/>
      </c>
      <c r="G16" s="101" t="str">
        <f>IFERROR(IF(G12=0,"",IF(ABS(G12)/APV!$I$29&gt;5%,"X","")),"")</f>
        <v/>
      </c>
      <c r="H16" s="101" t="str">
        <f>IFERROR(IF(H12=0,"",IF(ABS(H12)/APV!$I$29&gt;5%,"X","")),"")</f>
        <v/>
      </c>
      <c r="I16" s="101" t="str">
        <f>IFERROR(IF(I12=0,"",IF(ABS(I12)/APV!$I$29&gt;5%,"X","")),"")</f>
        <v/>
      </c>
      <c r="J16" s="101" t="str">
        <f>IFERROR(IF(J12=0,"",IF(ABS(J12)/APV!$I$29&gt;5%,"X","")),"")</f>
        <v/>
      </c>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c r="HL16" s="91"/>
      <c r="HM16" s="91"/>
      <c r="HN16" s="91"/>
      <c r="HO16" s="91"/>
      <c r="HP16" s="91"/>
      <c r="HQ16" s="91"/>
      <c r="HR16" s="91"/>
      <c r="HS16" s="91"/>
      <c r="HT16" s="91"/>
      <c r="HU16" s="91"/>
      <c r="HV16" s="91"/>
      <c r="HW16" s="91"/>
      <c r="HX16" s="91"/>
      <c r="HY16" s="91"/>
      <c r="HZ16" s="91"/>
      <c r="IA16" s="91"/>
      <c r="IB16" s="91"/>
      <c r="IC16" s="91"/>
      <c r="ID16" s="91"/>
      <c r="IE16" s="91"/>
      <c r="IF16" s="91"/>
      <c r="IG16" s="91"/>
      <c r="IH16" s="91"/>
      <c r="II16" s="91"/>
      <c r="IJ16" s="91"/>
      <c r="IK16" s="91"/>
      <c r="IL16" s="91"/>
      <c r="IM16" s="91"/>
      <c r="IN16" s="91"/>
      <c r="IO16" s="91"/>
      <c r="IP16" s="91"/>
      <c r="IQ16" s="91"/>
      <c r="IR16" s="91"/>
      <c r="IS16" s="91"/>
      <c r="IT16" s="91"/>
      <c r="IU16" s="91"/>
      <c r="IV16" s="91"/>
    </row>
    <row r="17" ht="12" customHeight="1" x14ac:dyDescent="0.25"/>
    <row r="18" ht="12" customHeight="1" x14ac:dyDescent="0.25"/>
    <row r="19" ht="12" customHeight="1" x14ac:dyDescent="0.25"/>
    <row r="20" ht="12" customHeight="1" x14ac:dyDescent="0.25"/>
  </sheetData>
  <sheetProtection sheet="1" objects="1" scenarios="1"/>
  <mergeCells count="1">
    <mergeCell ref="A16:D16"/>
  </mergeCells>
  <pageMargins left="0.7" right="0.7" top="0.75" bottom="0.75" header="0.3" footer="0.3"/>
  <pageSetup paperSize="9" scale="85" orientation="landscape" r:id="rId1"/>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dimension ref="A1:F991"/>
  <sheetViews>
    <sheetView showGridLines="0" workbookViewId="0">
      <selection activeCell="C4" sqref="C4"/>
    </sheetView>
  </sheetViews>
  <sheetFormatPr defaultColWidth="0" defaultRowHeight="14.6" zeroHeight="1" x14ac:dyDescent="0.4"/>
  <cols>
    <col min="1" max="1" width="60.53515625" bestFit="1" customWidth="1"/>
    <col min="2" max="2" width="8.84375" customWidth="1"/>
    <col min="3" max="3" width="25.765625" customWidth="1"/>
    <col min="4" max="4" width="5.3828125" customWidth="1"/>
    <col min="5" max="5" width="33.69140625" customWidth="1"/>
    <col min="6" max="6" width="17.15234375" customWidth="1"/>
  </cols>
  <sheetData>
    <row r="1" spans="1:6" x14ac:dyDescent="0.4">
      <c r="A1" s="1" t="s">
        <v>282</v>
      </c>
      <c r="B1" s="106"/>
      <c r="C1" s="106"/>
      <c r="D1" s="106"/>
      <c r="E1" s="106"/>
      <c r="F1" s="106"/>
    </row>
    <row r="2" spans="1:6" ht="11.25" customHeight="1" x14ac:dyDescent="0.4">
      <c r="A2" s="200"/>
      <c r="B2" s="200"/>
      <c r="C2" s="2"/>
      <c r="D2" s="200"/>
      <c r="E2" s="200"/>
      <c r="F2" s="200"/>
    </row>
    <row r="3" spans="1:6" ht="12" customHeight="1" x14ac:dyDescent="0.4">
      <c r="A3" s="201" t="s">
        <v>283</v>
      </c>
      <c r="B3" s="201"/>
      <c r="C3" s="201"/>
      <c r="D3" s="201"/>
      <c r="E3" s="201"/>
      <c r="F3" s="201"/>
    </row>
    <row r="4" spans="1:6" ht="12" customHeight="1" x14ac:dyDescent="0.4">
      <c r="A4" s="200" t="s">
        <v>284</v>
      </c>
      <c r="B4" s="207"/>
      <c r="C4" s="4"/>
      <c r="D4" s="200"/>
      <c r="E4" s="211" t="str">
        <f>IF(C4="","","95% betrouwbaarheidsinterval branche " &amp; C4 &amp;":")</f>
        <v/>
      </c>
      <c r="F4" s="202"/>
    </row>
    <row r="5" spans="1:6" ht="12" customHeight="1" x14ac:dyDescent="0.4">
      <c r="A5" s="200" t="s">
        <v>286</v>
      </c>
      <c r="B5" s="207"/>
      <c r="C5" s="4"/>
      <c r="D5" s="203"/>
      <c r="E5" s="203" t="str">
        <f>IF(C4="","","Ondergrens " &amp; TEXT(_xlfn.XLOOKUP(C4,'Keu - Branche'!A2:A12,'Keu - Branche'!D2:D12),"0,00%"))</f>
        <v/>
      </c>
      <c r="F5" s="203"/>
    </row>
    <row r="6" spans="1:6" ht="12" customHeight="1" x14ac:dyDescent="0.4">
      <c r="A6" s="200" t="s">
        <v>288</v>
      </c>
      <c r="B6" s="207"/>
      <c r="C6" s="4"/>
      <c r="D6" s="204"/>
      <c r="E6" s="200" t="str">
        <f>IF(C4="","","Gemiddelde " &amp; TEXT(_xlfn.XLOOKUP(C4,'Keu - Branche'!A2:A12,'Keu - Branche'!B2:B12),"0,00%"))</f>
        <v/>
      </c>
      <c r="F6" s="204"/>
    </row>
    <row r="7" spans="1:6" ht="12" customHeight="1" x14ac:dyDescent="0.4">
      <c r="A7" s="200"/>
      <c r="B7" s="207"/>
      <c r="C7" s="210"/>
      <c r="D7" s="205"/>
      <c r="E7" s="205" t="str">
        <f>IF(C4="","","Bovengrens " &amp; TEXT(_xlfn.XLOOKUP(C4,'Keu - Branche'!A2:A12,'Keu - Branche'!E2:E12),"0,00%"))</f>
        <v/>
      </c>
      <c r="F7" s="205"/>
    </row>
    <row r="8" spans="1:6" ht="12" customHeight="1" x14ac:dyDescent="0.4">
      <c r="A8" s="200" t="str">
        <f>IF(C4="","","Het aandeel exploitatiegebonden onroerend goed in de gehele onderzoeksgroep is 21% en in de branche "&amp;C4&amp;TEXT(_xlfn.XLOOKUP(C4,'Keu - Branche'!A2:A12,'Keu - Branche'!N2:N12)," 0%")&amp;".")</f>
        <v/>
      </c>
      <c r="B8" s="207"/>
      <c r="C8" s="210"/>
      <c r="D8" s="205"/>
      <c r="E8" s="205"/>
      <c r="F8" s="205"/>
    </row>
    <row r="9" spans="1:6" ht="12" customHeight="1" x14ac:dyDescent="0.4">
      <c r="A9" s="277" t="s">
        <v>289</v>
      </c>
      <c r="B9" s="7"/>
      <c r="C9" s="273" t="str">
        <f>IF(B9="","",IF(B9="Ja",IF(C5="Ja",'Keu - OG'!B2,IF(C5="Nee",'Keu - OG'!B3,"U moet eerst aangeven of er sprake is van exploitatiegebonden OG")),""))</f>
        <v/>
      </c>
      <c r="D9" s="212"/>
      <c r="E9" s="211" t="str">
        <f>IF(C6="","",IF(C6="&lt; 55.399","De onderneming valt qua grootte buiten de onderzoeksresultaten","95% betrouwbaarheidsinterval " &amp; _xlfn.XLOOKUP(C6,'Keu - Grootte'!E3:E12,'Keu - Grootte'!A3:A12) &amp; ":"))</f>
        <v/>
      </c>
      <c r="F9" s="212"/>
    </row>
    <row r="10" spans="1:6" ht="12" customHeight="1" x14ac:dyDescent="0.4">
      <c r="A10" s="277"/>
      <c r="B10" s="207"/>
      <c r="C10" s="273"/>
      <c r="D10" s="212"/>
      <c r="E10" s="269" t="str">
        <f>IF(C6="","",IF(C6="&lt; 55.399","","Ondergrens " &amp; TEXT(_xlfn.XLOOKUP(C6,'Keu - Grootte'!E3:E12,'Keu - Grootte'!G3:G12),"0,00%")))</f>
        <v/>
      </c>
      <c r="F10" s="212"/>
    </row>
    <row r="11" spans="1:6" ht="12" customHeight="1" x14ac:dyDescent="0.4">
      <c r="A11" s="200"/>
      <c r="B11" s="207"/>
      <c r="C11" s="212"/>
      <c r="D11" s="212"/>
      <c r="E11" s="212" t="str">
        <f>IF(C6="","",IF(C6="&lt; 55.399","","Gemiddelde " &amp; TEXT(_xlfn.XLOOKUP(C6,'Keu - Grootte'!E3:E12,'Keu - Grootte'!F3:F12),"0,00%")))</f>
        <v/>
      </c>
      <c r="F11" s="212"/>
    </row>
    <row r="12" spans="1:6" ht="12" customHeight="1" x14ac:dyDescent="0.4">
      <c r="A12" s="200" t="str">
        <f>IFERROR(IF(_xlfn.XLOOKUP(C4,'Keu - Branche'!A2:A12,'Keu - Branche'!C2:C12)="nee","",IF(AND(C4="",C6=""),"Selecteer eerst een branche en een verwachte ondernemingswaarde",IF(C4="","Selecteer eerst een branche",IF(C6="","Selecteer eerst een verwachte ondernemingswaarde","De gekozen branche bevindt zich in " &amp; _xlfn.XLOOKUP(C4,'Keu - Branche'!A2:A12,'Keu - Branche'!I2:I12) &amp; " en de gekozen onderneming bevindt zich in " &amp; _xlfn.XLOOKUP(C6,'Keu - Grootte'!E3:E12,'Keu - Grootte'!A3:A12) &amp; ".")))),"")</f>
        <v/>
      </c>
      <c r="B12" s="200"/>
      <c r="C12" s="200"/>
      <c r="D12" s="212"/>
      <c r="E12" s="212" t="str">
        <f>IF(C6="","",IF(C6="&lt; 55.399","","Bovengrens " &amp; TEXT(_xlfn.XLOOKUP(C6,'Keu - Grootte'!E3:E12,'Keu - Grootte'!H3:H12),"0,00%")))</f>
        <v/>
      </c>
      <c r="F12" s="212"/>
    </row>
    <row r="13" spans="1:6" ht="12" customHeight="1" x14ac:dyDescent="0.4">
      <c r="A13" s="200" t="str">
        <f>IFERROR(IF(_xlfn.XLOOKUP(C4,'Keu - Branche'!A2:A12,'Keu - Branche'!C2:C12)="nee","",IF(AND(C4="",C6=""),"Selecteer eerst een branche en een verwachte ondernemingswaarde","De mediaan van de ondernemingswaarde in de branche " &amp; C4 &amp; " is " &amp; TEXT(_xlfn.XLOOKUP(C4,'Keu - Branche'!A2:A12,'Keu - Branche'!H2:H12),"€ #.###.###") &amp; " en het gemiddelde is " &amp; TEXT(_xlfn.XLOOKUP(C4,'Keu - Branche'!A2:A12,'Keu - Branche'!G2:G12),"€ #.###.###")&amp;".")),"")</f>
        <v/>
      </c>
      <c r="B13" s="207"/>
      <c r="C13" s="212"/>
      <c r="D13" s="212"/>
      <c r="E13" s="212"/>
      <c r="F13" s="212"/>
    </row>
    <row r="14" spans="1:6" ht="12" customHeight="1" x14ac:dyDescent="0.4">
      <c r="A14" s="277" t="str">
        <f>IFERROR(IF(_xlfn.XLOOKUP(C4,'Keu - Branche'!A2:A12,'Keu - Branche'!C2:C12)="nee","De gekozen branche wijkt niet significant af van de onderzoekpopulatie, ga verder naar de volgende vraag","Wilt u een grootte correctie toepassen omdat de onderneming sterk afwijkt van de branche grootte?"),"")</f>
        <v/>
      </c>
      <c r="B14" s="7"/>
      <c r="C14" s="273" t="str">
        <f>IFERROR(IF(_xlfn.XLOOKUP(C4,'Keu - Branche'!A2:A12,'Keu - Branche'!C2:C12)="nee","",IFERROR(IF(B14="Nee","",_xlfn.XLOOKUP(C6,'Keu - Grootte'!E3:E12,'Keu - Grootte'!F3:F12)-_xlfn.XLOOKUP(_xlfn.XLOOKUP(C4,'Keu - Branche'!A2:A12,'Keu - Branche'!I2:I12),'Keu - Grootte'!A3:A12,'Keu - Grootte'!F3:F12)),"")),"")</f>
        <v/>
      </c>
      <c r="D14" s="212"/>
      <c r="E14" s="212"/>
      <c r="F14" s="212"/>
    </row>
    <row r="15" spans="1:6" ht="12" customHeight="1" x14ac:dyDescent="0.4">
      <c r="A15" s="277"/>
      <c r="C15" s="273"/>
      <c r="D15" s="212"/>
      <c r="E15" s="212"/>
      <c r="F15" s="212"/>
    </row>
    <row r="16" spans="1:6" ht="12" customHeight="1" x14ac:dyDescent="0.4">
      <c r="A16" s="217" t="str">
        <f>IFERROR(IF(_xlfn.XLOOKUP(C4,'Keu - Branche'!A2:A12,'Keu - Branche'!C2:C12)="nee","","Indien u het spreidingsdiagram van de branche wilt raadplegen ga dan naar bijlage 3 van het onderzoek van ValuePro."),"")</f>
        <v/>
      </c>
      <c r="B16" s="207"/>
      <c r="C16" s="215"/>
      <c r="D16" s="212"/>
      <c r="E16" s="212"/>
      <c r="F16" s="212"/>
    </row>
    <row r="17" spans="1:6" ht="12" customHeight="1" x14ac:dyDescent="0.4">
      <c r="A17" s="216" t="s">
        <v>291</v>
      </c>
      <c r="B17" s="207"/>
      <c r="C17" s="212"/>
      <c r="D17" s="212"/>
      <c r="E17" s="212"/>
      <c r="F17" s="212"/>
    </row>
    <row r="18" spans="1:6" ht="12" customHeight="1" x14ac:dyDescent="0.4">
      <c r="A18" s="200"/>
      <c r="B18" s="211" t="s">
        <v>292</v>
      </c>
      <c r="C18" s="218" t="s">
        <v>293</v>
      </c>
      <c r="D18" s="211"/>
      <c r="E18" s="211" t="s">
        <v>294</v>
      </c>
      <c r="F18" s="207"/>
    </row>
    <row r="19" spans="1:6" ht="12" customHeight="1" x14ac:dyDescent="0.4">
      <c r="A19" s="211" t="s">
        <v>295</v>
      </c>
      <c r="B19" s="219" t="str">
        <f>IFERROR(IF(C6="&lt; 55.399","",C19-MAX(_xlfn.XLOOKUP(C4,'Keu - Branche'!A2:A12,'Keu - Branche'!E2:E12)-_xlfn.XLOOKUP(C4,'Keu - Branche'!A2:A12,'Keu - Branche'!D2:D12),_xlfn.XLOOKUP(C6,'Keu - Grootte'!E3:E12,'Keu - Grootte'!H3:H12)-_xlfn.XLOOKUP(C6,'Keu - Grootte'!E3:E12,'Keu - Grootte'!G3:G12))/2),"")</f>
        <v/>
      </c>
      <c r="C19" s="270" t="str">
        <f>IFERROR(IF(OR(C4="",C6=""),"",IF(C6="&lt; 55.399","",IF(_xlfn.XLOOKUP(C4,'Keu - Branche'!A2:A12,'Keu - Branche'!C2:C12)="nee",_xlfn.XLOOKUP('Rendementseis  - Keu Referentie'!C6,'Keu - Grootte'!E3:E12,'Keu - Grootte'!F3:F12)+IF(ISNUMBER(C9),C9,0)+IF(ISNUMBER(C14),C14,0),_xlfn.XLOOKUP(C4,'Keu - Branche'!A2:A12,'Keu - Branche'!B2:B12)+IF(ISNUMBER(C9),C9,0)+IF(ISNUMBER(C14),C14,0)))),"")</f>
        <v/>
      </c>
      <c r="D19" s="205"/>
      <c r="E19" s="213" t="str">
        <f>IFERROR(IF(C6="&lt; 55.399","",C19+MAX(_xlfn.XLOOKUP(C4,'Keu - Branche'!A2:A12,'Keu - Branche'!E2:E12)-_xlfn.XLOOKUP(C4,'Keu - Branche'!A2:A12,'Keu - Branche'!D2:D12),_xlfn.XLOOKUP(C6,'Keu - Grootte'!E3:E12,'Keu - Grootte'!H3:H12)-_xlfn.XLOOKUP(C6,'Keu - Grootte'!E3:E12,'Keu - Grootte'!G3:G12))/2),"")</f>
        <v/>
      </c>
      <c r="F19" s="205"/>
    </row>
    <row r="20" spans="1:6" ht="12" customHeight="1" x14ac:dyDescent="0.4">
      <c r="A20" s="211"/>
      <c r="B20" s="219"/>
      <c r="C20" s="271" t="str">
        <f>IF(C6="&lt; 55.399","De onderneming valt qua grootte buiten de onderzoeksresultaten en het model is daarom niet toepasbaar.","")</f>
        <v/>
      </c>
      <c r="D20" s="205"/>
      <c r="E20" s="213"/>
      <c r="F20" s="205"/>
    </row>
    <row r="21" spans="1:6" ht="12" customHeight="1" x14ac:dyDescent="0.4">
      <c r="A21" s="200" t="s">
        <v>296</v>
      </c>
      <c r="B21" s="207"/>
      <c r="C21" s="207"/>
      <c r="D21" s="205"/>
      <c r="E21" s="214"/>
      <c r="F21" s="205"/>
    </row>
    <row r="22" spans="1:6" ht="12" customHeight="1" x14ac:dyDescent="0.4">
      <c r="A22" s="197" t="s">
        <v>297</v>
      </c>
      <c r="B22" s="207"/>
      <c r="C22" s="207"/>
      <c r="D22" s="205"/>
      <c r="E22" s="214"/>
      <c r="F22" s="205"/>
    </row>
    <row r="23" spans="1:6" ht="12" customHeight="1" x14ac:dyDescent="0.4">
      <c r="A23" s="220" t="s">
        <v>298</v>
      </c>
      <c r="B23" s="207"/>
      <c r="C23" s="207"/>
      <c r="D23" s="205"/>
      <c r="E23" s="205"/>
      <c r="F23" s="205"/>
    </row>
    <row r="24" spans="1:6" ht="12" customHeight="1" x14ac:dyDescent="0.4">
      <c r="A24" s="200" t="s">
        <v>299</v>
      </c>
      <c r="B24" s="207"/>
      <c r="C24" s="198">
        <v>0</v>
      </c>
      <c r="D24" s="205"/>
      <c r="E24" s="205"/>
      <c r="F24" s="205"/>
    </row>
    <row r="25" spans="1:6" ht="12" customHeight="1" x14ac:dyDescent="0.4">
      <c r="A25" s="200" t="s">
        <v>300</v>
      </c>
      <c r="B25" s="207"/>
      <c r="C25" s="198">
        <v>0</v>
      </c>
      <c r="D25" s="205"/>
      <c r="E25" s="205"/>
      <c r="F25" s="205"/>
    </row>
    <row r="26" spans="1:6" ht="12" customHeight="1" x14ac:dyDescent="0.4">
      <c r="A26" s="200" t="s">
        <v>301</v>
      </c>
      <c r="B26" s="207"/>
      <c r="C26" s="198">
        <v>0</v>
      </c>
      <c r="D26" s="205"/>
      <c r="E26" s="205"/>
      <c r="F26" s="205"/>
    </row>
    <row r="27" spans="1:6" ht="12" customHeight="1" x14ac:dyDescent="0.4">
      <c r="A27" s="220" t="s">
        <v>302</v>
      </c>
      <c r="B27" s="207"/>
      <c r="C27" s="177"/>
      <c r="D27" s="205"/>
      <c r="E27" s="205"/>
      <c r="F27" s="205"/>
    </row>
    <row r="28" spans="1:6" ht="12" customHeight="1" x14ac:dyDescent="0.4">
      <c r="A28" s="200" t="s">
        <v>303</v>
      </c>
      <c r="B28" s="207"/>
      <c r="C28" s="198">
        <v>0</v>
      </c>
      <c r="D28" s="205"/>
      <c r="E28" s="205"/>
      <c r="F28" s="205"/>
    </row>
    <row r="29" spans="1:6" ht="12" customHeight="1" x14ac:dyDescent="0.4">
      <c r="A29" s="200" t="s">
        <v>304</v>
      </c>
      <c r="B29" s="207"/>
      <c r="C29" s="198">
        <v>0</v>
      </c>
      <c r="D29" s="205"/>
      <c r="E29" s="205"/>
      <c r="F29" s="205"/>
    </row>
    <row r="30" spans="1:6" ht="12" customHeight="1" x14ac:dyDescent="0.4">
      <c r="A30" s="200" t="s">
        <v>305</v>
      </c>
      <c r="B30" s="207"/>
      <c r="C30" s="198">
        <v>0</v>
      </c>
      <c r="D30" s="205"/>
      <c r="E30" s="205"/>
      <c r="F30" s="205"/>
    </row>
    <row r="31" spans="1:6" ht="12" customHeight="1" x14ac:dyDescent="0.4">
      <c r="A31" s="200" t="s">
        <v>306</v>
      </c>
      <c r="B31" s="207"/>
      <c r="C31" s="198">
        <v>0</v>
      </c>
      <c r="D31" s="205"/>
      <c r="E31" s="205"/>
      <c r="F31" s="205"/>
    </row>
    <row r="32" spans="1:6" ht="12" customHeight="1" x14ac:dyDescent="0.4">
      <c r="A32" s="220" t="s">
        <v>307</v>
      </c>
      <c r="B32" s="207"/>
      <c r="D32" s="205"/>
      <c r="E32" s="205"/>
      <c r="F32" s="205"/>
    </row>
    <row r="33" spans="1:6" ht="12" customHeight="1" x14ac:dyDescent="0.4">
      <c r="A33" s="200" t="s">
        <v>308</v>
      </c>
      <c r="B33" s="207"/>
      <c r="C33" s="198"/>
      <c r="D33" s="205"/>
      <c r="E33" s="205"/>
      <c r="F33" s="205"/>
    </row>
    <row r="34" spans="1:6" ht="12" customHeight="1" x14ac:dyDescent="0.4">
      <c r="A34" s="200"/>
      <c r="B34" s="207"/>
      <c r="C34" s="207"/>
      <c r="D34" s="205"/>
      <c r="E34" s="205"/>
      <c r="F34" s="205"/>
    </row>
    <row r="35" spans="1:6" ht="12" customHeight="1" x14ac:dyDescent="0.4">
      <c r="A35" s="200" t="str">
        <f>IFERROR(IF(C6="&lt; 55.399","",IF(_xlfn.XLOOKUP(C4,'Keu - Branche'!A2:A12,'Keu - Branche'!C2:C12)="nee","Gemiddelde Keu van " &amp; _xlfn.XLOOKUP(C6,'Keu - Grootte'!E3:E12,'Keu - Grootte'!A3:A12),"Gemiddelde Keu van branche " &amp; C4)),"Gemiddelde keu van de branche / deciel")</f>
        <v>Gemiddelde keu van de branche / deciel</v>
      </c>
      <c r="B35" s="207"/>
      <c r="C35" s="212" t="str">
        <f>IFERROR(IF(C6="&lt; 55.399","",IF(_xlfn.XLOOKUP(C4,'Keu - Branche'!A2:A12,'Keu - Branche'!C2:C12)="nee",_xlfn.XLOOKUP('Rendementseis  - Keu Referentie'!C6,'Keu - Grootte'!E3:E12,'Keu - Grootte'!F3:F12),_xlfn.XLOOKUP(C4,'Keu - Branche'!A2:A12,'Keu - Branche'!B2:B12))),"")</f>
        <v/>
      </c>
      <c r="D35" s="205"/>
      <c r="E35" s="205"/>
      <c r="F35" s="205"/>
    </row>
    <row r="36" spans="1:6" ht="12" customHeight="1" x14ac:dyDescent="0.4">
      <c r="A36" s="200" t="s">
        <v>309</v>
      </c>
      <c r="B36" s="207"/>
      <c r="C36" s="212" t="str">
        <f>IF(C5="","",(IF(B9="Nee","Geen correctie toegepast",C9)))</f>
        <v/>
      </c>
      <c r="D36" s="205"/>
      <c r="E36" s="205"/>
      <c r="F36" s="205"/>
    </row>
    <row r="37" spans="1:6" ht="12" customHeight="1" x14ac:dyDescent="0.4">
      <c r="A37" s="200" t="str">
        <f>IFERROR(IF(_xlfn.XLOOKUP(C4,'Keu - Branche'!A2:A12,'Keu - Branche'!C2:C12)="nee","","Toegepaste groottecorrectie"),"")</f>
        <v/>
      </c>
      <c r="B37" s="207"/>
      <c r="C37" s="212" t="str">
        <f>IFERROR(IF(_xlfn.XLOOKUP(C4,'Keu - Branche'!A2:A12,'Keu - Branche'!C2:C12)="nee","",IF(B14="Nee","Geen correctie toegepast",IF(B14="Ja",C14,""))),"")</f>
        <v/>
      </c>
      <c r="D37" s="205"/>
      <c r="E37" s="205"/>
      <c r="F37" s="205"/>
    </row>
    <row r="38" spans="1:6" ht="12" customHeight="1" x14ac:dyDescent="0.4">
      <c r="A38" s="220" t="s">
        <v>310</v>
      </c>
      <c r="B38" s="221"/>
      <c r="C38" s="222" t="str">
        <f>IFERROR(IF(C6="&lt; 55.399","",IF(_xlfn.XLOOKUP(C4,'Keu - Branche'!A2:A12,'Keu - Branche'!C2:C12)="nee",IF(OR(C35="",C36=""),"Niet alle velden zijn ingevuld",SUM(C35:C36)),IF(OR(C35="",C36="",C37=""),"Niet alle velden zijn ingevuld",SUM(C35:C37)))),"Niet alle velden zijn ingevuld")</f>
        <v>Niet alle velden zijn ingevuld</v>
      </c>
      <c r="D38" s="205"/>
      <c r="E38" s="205"/>
      <c r="F38" s="205"/>
    </row>
    <row r="39" spans="1:6" ht="12" customHeight="1" x14ac:dyDescent="0.4">
      <c r="A39" s="200" t="s">
        <v>311</v>
      </c>
      <c r="B39" s="207"/>
      <c r="C39" s="223">
        <f>IFERROR(IF(COUNT(C24,C25,C26)&lt;&gt;3,"Niet alle velden zijn ingevuld",C24+C25+C26),"")</f>
        <v>0</v>
      </c>
      <c r="D39" s="205"/>
      <c r="E39" s="205"/>
      <c r="F39" s="205"/>
    </row>
    <row r="40" spans="1:6" ht="12" customHeight="1" x14ac:dyDescent="0.4">
      <c r="A40" s="200" t="s">
        <v>312</v>
      </c>
      <c r="B40" s="207"/>
      <c r="C40" s="223">
        <f>IFERROR(IF(COUNT(C28,C29,C30,C31)&lt;&gt;4,"Niet alle velden zijn ingevuld",C28+C29+C30+C31),"")</f>
        <v>0</v>
      </c>
      <c r="D40" s="205"/>
      <c r="E40" s="205"/>
      <c r="F40" s="205"/>
    </row>
    <row r="41" spans="1:6" ht="12" customHeight="1" x14ac:dyDescent="0.4">
      <c r="A41" s="200" t="s">
        <v>308</v>
      </c>
      <c r="B41" s="210"/>
      <c r="C41" s="223" t="str">
        <f>IF(C33="","Geen correctie toegepast",C33)</f>
        <v>Geen correctie toegepast</v>
      </c>
      <c r="D41" s="200"/>
      <c r="E41" s="200"/>
      <c r="F41" s="200"/>
    </row>
    <row r="42" spans="1:6" ht="12" customHeight="1" x14ac:dyDescent="0.4">
      <c r="A42" s="220" t="s">
        <v>313</v>
      </c>
      <c r="B42" s="207"/>
      <c r="C42" s="224" t="str">
        <f>IF(C6="&lt; 55.399","De onderneming valt buiten de onderzoeksresultaten en het model is daarom niet toepasbaar.",IF(COUNTIF(C38:C41,"Niet alle velden zijn ingevuld")&gt;0,"Nog niet alle velden zijn ingevuld, er kan nog geen rendementseis worden vastgesteld.",SUM(C38:C41)))</f>
        <v>Nog niet alle velden zijn ingevuld, er kan nog geen rendementseis worden vastgesteld.</v>
      </c>
      <c r="D42" s="206"/>
      <c r="E42" s="206"/>
      <c r="F42" s="206"/>
    </row>
    <row r="43" spans="1:6" ht="12" customHeight="1" x14ac:dyDescent="0.4">
      <c r="A43" s="244" t="str">
        <f>IFERROR(IF(ISNUMBER(KeuReferentie),IF(OR(KeuReferentie&lt;B19,KeuReferentie&gt;E19),"Let op: door de gehanteerde correcties valt de Keu buiten het 95% betrouwbaarheidsinterval.",""),""),"")</f>
        <v/>
      </c>
      <c r="B43" s="210"/>
      <c r="C43" s="210"/>
      <c r="D43" s="200"/>
      <c r="E43" s="200"/>
      <c r="F43" s="200"/>
    </row>
    <row r="44" spans="1:6" ht="12" customHeight="1" x14ac:dyDescent="0.4">
      <c r="A44" s="200"/>
      <c r="B44" s="210"/>
      <c r="C44" s="210"/>
      <c r="D44" s="200"/>
      <c r="E44" s="200"/>
      <c r="F44" s="200"/>
    </row>
    <row r="45" spans="1:6" ht="12" customHeight="1" x14ac:dyDescent="0.4">
      <c r="A45" s="208" t="s">
        <v>314</v>
      </c>
      <c r="B45" s="207"/>
      <c r="C45" s="207"/>
      <c r="D45" s="200"/>
      <c r="E45" s="200"/>
      <c r="F45" s="200"/>
    </row>
    <row r="46" spans="1:6" ht="12" customHeight="1" x14ac:dyDescent="0.4">
      <c r="A46" s="209" t="s">
        <v>315</v>
      </c>
      <c r="B46" s="207"/>
      <c r="C46" s="207"/>
      <c r="D46" s="200"/>
      <c r="E46" s="200"/>
      <c r="F46" s="200"/>
    </row>
    <row r="47" spans="1:6" ht="12" customHeight="1" x14ac:dyDescent="0.4">
      <c r="A47" s="209" t="s">
        <v>316</v>
      </c>
      <c r="B47" s="207"/>
      <c r="C47" s="207"/>
      <c r="D47" s="200"/>
      <c r="E47" s="200"/>
      <c r="F47" s="200"/>
    </row>
    <row r="48" spans="1:6" ht="12" customHeight="1" x14ac:dyDescent="0.4">
      <c r="A48" s="209" t="s">
        <v>317</v>
      </c>
      <c r="B48" s="207"/>
      <c r="C48" s="207"/>
      <c r="D48" s="200"/>
      <c r="E48" s="200"/>
      <c r="F48" s="200"/>
    </row>
    <row r="49" spans="1:6" ht="12" customHeight="1" x14ac:dyDescent="0.4">
      <c r="A49" s="209" t="s">
        <v>318</v>
      </c>
      <c r="B49" s="207"/>
      <c r="C49" s="207"/>
      <c r="D49" s="200"/>
      <c r="E49" s="200"/>
      <c r="F49" s="200"/>
    </row>
    <row r="50" spans="1:6" ht="12" customHeight="1" x14ac:dyDescent="0.4">
      <c r="A50" s="209" t="s">
        <v>319</v>
      </c>
      <c r="B50" s="207"/>
      <c r="C50" s="207"/>
      <c r="D50" s="200"/>
      <c r="E50" s="200"/>
      <c r="F50" s="200"/>
    </row>
    <row r="51" spans="1:6" ht="12" customHeight="1" x14ac:dyDescent="0.4">
      <c r="A51" s="209" t="s">
        <v>320</v>
      </c>
      <c r="B51" s="207"/>
      <c r="C51" s="207"/>
      <c r="D51" s="200"/>
      <c r="E51" s="200"/>
      <c r="F51" s="200"/>
    </row>
    <row r="52" spans="1:6" ht="12" customHeight="1" x14ac:dyDescent="0.4">
      <c r="A52" s="207"/>
      <c r="B52" s="207"/>
      <c r="C52" s="207"/>
      <c r="D52" s="207"/>
      <c r="E52" s="207"/>
      <c r="F52" s="207"/>
    </row>
    <row r="53" spans="1:6" ht="12" customHeight="1" x14ac:dyDescent="0.4">
      <c r="A53" s="200" t="s">
        <v>321</v>
      </c>
      <c r="B53" s="207"/>
      <c r="C53" s="4">
        <v>0.5</v>
      </c>
      <c r="D53" s="200"/>
      <c r="E53" s="200"/>
      <c r="F53" s="200"/>
    </row>
    <row r="54" spans="1:6" ht="12" customHeight="1" x14ac:dyDescent="0.4">
      <c r="A54" s="200" t="s">
        <v>322</v>
      </c>
      <c r="B54" s="207"/>
      <c r="C54" s="5">
        <f>1-C53</f>
        <v>0.5</v>
      </c>
      <c r="D54" s="200"/>
      <c r="E54" s="200"/>
      <c r="F54" s="200"/>
    </row>
    <row r="55" spans="1:6" ht="12" customHeight="1" x14ac:dyDescent="0.4">
      <c r="A55" s="200" t="s">
        <v>323</v>
      </c>
      <c r="B55" s="207"/>
      <c r="C55" s="4">
        <v>6.5000000000000002E-2</v>
      </c>
      <c r="D55" s="200"/>
      <c r="E55" s="200"/>
      <c r="F55" s="200"/>
    </row>
    <row r="56" spans="1:6" ht="12" customHeight="1" x14ac:dyDescent="0.4">
      <c r="A56" s="200" t="s">
        <v>324</v>
      </c>
      <c r="B56" s="207"/>
      <c r="C56" s="199" t="str">
        <f>IFERROR(KeuReferentie+(KeuReferentie-C55)*C53/C54,"")</f>
        <v/>
      </c>
      <c r="D56" s="200"/>
      <c r="E56" s="200"/>
      <c r="F56" s="200"/>
    </row>
    <row r="57" spans="1:6" ht="12" customHeight="1" x14ac:dyDescent="0.4">
      <c r="A57" s="200" t="s">
        <v>325</v>
      </c>
      <c r="B57" s="207"/>
      <c r="C57" s="6">
        <v>0.25</v>
      </c>
      <c r="D57" s="200"/>
      <c r="E57" s="200"/>
      <c r="F57" s="200"/>
    </row>
    <row r="58" spans="1:6" ht="12" customHeight="1" x14ac:dyDescent="0.4">
      <c r="A58" s="200" t="s">
        <v>326</v>
      </c>
      <c r="B58" s="207"/>
      <c r="C58" s="5" t="str">
        <f>IFERROR(C54*C56+C53*C55*(1-C57),"")</f>
        <v/>
      </c>
      <c r="D58" s="200"/>
      <c r="E58" s="200"/>
      <c r="F58" s="200"/>
    </row>
    <row r="59" spans="1:6" ht="12" customHeight="1" x14ac:dyDescent="0.4">
      <c r="A59" s="200" t="s">
        <v>327</v>
      </c>
      <c r="B59" s="207"/>
      <c r="C59" s="4">
        <v>0.25</v>
      </c>
      <c r="D59" s="200"/>
      <c r="E59" s="200"/>
      <c r="F59" s="200"/>
    </row>
    <row r="60" spans="1:6" ht="12" customHeight="1" x14ac:dyDescent="0.4">
      <c r="A60" s="200" t="s">
        <v>328</v>
      </c>
      <c r="B60" s="207"/>
      <c r="C60" s="210" t="str">
        <f>IFERROR(KeuReferentie+(KeuReferentie-C55)*C59/(1-C59),"")</f>
        <v/>
      </c>
      <c r="D60" s="200"/>
      <c r="E60" s="200"/>
      <c r="F60" s="200"/>
    </row>
    <row r="61" spans="1:6" ht="12" customHeight="1" x14ac:dyDescent="0.4">
      <c r="A61" s="200" t="s">
        <v>329</v>
      </c>
      <c r="B61" s="207"/>
      <c r="C61" s="210" t="str">
        <f>IFERROR((1-C59)*C60+C59*C55*(1-C57),"")</f>
        <v/>
      </c>
      <c r="D61" s="200"/>
      <c r="E61" s="200"/>
      <c r="F61" s="200"/>
    </row>
    <row r="62" spans="1:6" ht="12" customHeight="1" x14ac:dyDescent="0.4">
      <c r="A62" s="207"/>
      <c r="B62" s="207"/>
      <c r="C62" s="207"/>
      <c r="D62" s="207"/>
      <c r="E62" s="207"/>
      <c r="F62" s="207"/>
    </row>
    <row r="63" spans="1:6" x14ac:dyDescent="0.4">
      <c r="A63" s="207"/>
      <c r="B63" s="207"/>
      <c r="C63" s="207"/>
      <c r="D63" s="207"/>
      <c r="E63" s="207"/>
      <c r="F63" s="207"/>
    </row>
    <row r="64" spans="1:6" ht="14.7" customHeight="1" x14ac:dyDescent="0.4">
      <c r="A64" s="278" t="s">
        <v>330</v>
      </c>
      <c r="B64" s="279"/>
      <c r="C64" s="280"/>
      <c r="D64" s="207"/>
      <c r="E64" s="207"/>
      <c r="F64" s="207"/>
    </row>
    <row r="65" spans="1:6" ht="15" customHeight="1" x14ac:dyDescent="0.4">
      <c r="A65" s="281"/>
      <c r="B65" s="282"/>
      <c r="C65" s="283"/>
      <c r="D65" s="207"/>
      <c r="E65" s="207"/>
      <c r="F65" s="207"/>
    </row>
    <row r="66" spans="1:6" ht="15" customHeight="1" x14ac:dyDescent="0.4">
      <c r="A66" s="281"/>
      <c r="B66" s="282"/>
      <c r="C66" s="283"/>
      <c r="D66" s="207"/>
      <c r="E66" s="207"/>
      <c r="F66" s="207"/>
    </row>
    <row r="67" spans="1:6" ht="15" customHeight="1" x14ac:dyDescent="0.4">
      <c r="A67" s="225" t="s">
        <v>331</v>
      </c>
      <c r="B67" s="245"/>
      <c r="C67" s="226"/>
      <c r="D67" s="207"/>
      <c r="E67" s="207"/>
      <c r="F67" s="207"/>
    </row>
    <row r="68" spans="1:6" ht="15" customHeight="1" x14ac:dyDescent="0.4">
      <c r="A68" s="274" t="s">
        <v>332</v>
      </c>
      <c r="B68" s="275"/>
      <c r="C68" s="276"/>
      <c r="D68" s="207"/>
      <c r="E68" s="207"/>
      <c r="F68" s="207"/>
    </row>
    <row r="69" spans="1:6" ht="15" customHeight="1" x14ac:dyDescent="0.4">
      <c r="A69" s="274"/>
      <c r="B69" s="275"/>
      <c r="C69" s="276"/>
      <c r="D69" s="207"/>
      <c r="E69" s="207"/>
      <c r="F69" s="207"/>
    </row>
    <row r="70" spans="1:6" ht="15" customHeight="1" x14ac:dyDescent="0.4">
      <c r="A70" s="274"/>
      <c r="B70" s="275"/>
      <c r="C70" s="276"/>
      <c r="D70" s="207"/>
      <c r="E70" s="207"/>
      <c r="F70" s="207"/>
    </row>
    <row r="71" spans="1:6" ht="15" customHeight="1" x14ac:dyDescent="0.4">
      <c r="A71" s="274"/>
      <c r="B71" s="275"/>
      <c r="C71" s="276"/>
      <c r="D71" s="207"/>
      <c r="E71" s="207"/>
    </row>
    <row r="72" spans="1:6" ht="15" customHeight="1" x14ac:dyDescent="0.4">
      <c r="A72" s="274"/>
      <c r="B72" s="275"/>
      <c r="C72" s="276"/>
      <c r="D72" s="207"/>
      <c r="E72" s="207"/>
      <c r="F72" s="207"/>
    </row>
    <row r="73" spans="1:6" ht="15" customHeight="1" x14ac:dyDescent="0.4">
      <c r="A73" s="274"/>
      <c r="B73" s="275"/>
      <c r="C73" s="276"/>
      <c r="D73" s="207"/>
      <c r="E73" s="207"/>
      <c r="F73" s="207"/>
    </row>
    <row r="74" spans="1:6" x14ac:dyDescent="0.4">
      <c r="A74" s="274"/>
      <c r="B74" s="275"/>
      <c r="C74" s="276"/>
      <c r="D74" s="207"/>
      <c r="E74" s="207"/>
      <c r="F74" s="207"/>
    </row>
    <row r="75" spans="1:6" x14ac:dyDescent="0.4">
      <c r="A75" s="274"/>
      <c r="B75" s="275"/>
      <c r="C75" s="276"/>
      <c r="D75" s="207"/>
      <c r="E75" s="207"/>
      <c r="F75" s="207"/>
    </row>
    <row r="76" spans="1:6" x14ac:dyDescent="0.4">
      <c r="A76" s="274"/>
      <c r="B76" s="275"/>
      <c r="C76" s="276"/>
      <c r="D76" s="207"/>
      <c r="E76" s="207"/>
      <c r="F76" s="207"/>
    </row>
    <row r="77" spans="1:6" x14ac:dyDescent="0.4">
      <c r="A77" s="274"/>
      <c r="B77" s="275"/>
      <c r="C77" s="276"/>
      <c r="D77" s="207"/>
      <c r="E77" s="207"/>
      <c r="F77" s="207"/>
    </row>
    <row r="78" spans="1:6" x14ac:dyDescent="0.4">
      <c r="A78" s="274"/>
      <c r="B78" s="275"/>
      <c r="C78" s="276"/>
      <c r="D78" s="207"/>
      <c r="E78" s="207"/>
      <c r="F78" s="207"/>
    </row>
    <row r="79" spans="1:6" x14ac:dyDescent="0.4">
      <c r="A79" s="274"/>
      <c r="B79" s="275"/>
      <c r="C79" s="276"/>
      <c r="D79" s="207"/>
      <c r="E79" s="207"/>
      <c r="F79" s="207"/>
    </row>
    <row r="80" spans="1:6" ht="14.7" customHeight="1" x14ac:dyDescent="0.4">
      <c r="A80" s="274"/>
      <c r="B80" s="275"/>
      <c r="C80" s="276"/>
      <c r="D80" s="207"/>
      <c r="E80" s="207"/>
      <c r="F80" s="207"/>
    </row>
    <row r="81" spans="1:6" x14ac:dyDescent="0.4">
      <c r="A81" s="246"/>
      <c r="B81" s="247"/>
      <c r="C81" s="248"/>
      <c r="D81" s="207"/>
      <c r="E81" s="207"/>
      <c r="F81" s="207"/>
    </row>
    <row r="82" spans="1:6" x14ac:dyDescent="0.4">
      <c r="A82" s="249"/>
      <c r="B82" s="250"/>
      <c r="C82" s="251"/>
      <c r="D82" s="207"/>
      <c r="E82" s="207"/>
      <c r="F82" s="207"/>
    </row>
    <row r="83" spans="1:6" x14ac:dyDescent="0.4">
      <c r="A83" s="207"/>
      <c r="B83" s="207"/>
      <c r="C83" s="207"/>
      <c r="D83" s="207"/>
      <c r="E83" s="207"/>
      <c r="F83" s="207"/>
    </row>
    <row r="84" spans="1:6" x14ac:dyDescent="0.4">
      <c r="A84" s="207"/>
      <c r="B84" s="207"/>
      <c r="C84" s="207"/>
      <c r="D84" s="207"/>
      <c r="E84" s="207"/>
      <c r="F84" s="207"/>
    </row>
    <row r="85" spans="1:6" x14ac:dyDescent="0.4">
      <c r="A85" s="207"/>
      <c r="B85" s="207"/>
      <c r="C85" s="207"/>
      <c r="D85" s="207"/>
      <c r="E85" s="207"/>
      <c r="F85" s="207"/>
    </row>
    <row r="86" spans="1:6" hidden="1" x14ac:dyDescent="0.4">
      <c r="A86" s="207"/>
      <c r="B86" s="207"/>
      <c r="C86" s="207"/>
      <c r="D86" s="207"/>
      <c r="E86" s="207"/>
      <c r="F86" s="207"/>
    </row>
    <row r="87" spans="1:6" hidden="1" x14ac:dyDescent="0.4">
      <c r="A87" s="207"/>
      <c r="B87" s="207"/>
      <c r="C87" s="207"/>
      <c r="D87" s="207"/>
      <c r="E87" s="207"/>
      <c r="F87" s="207"/>
    </row>
    <row r="88" spans="1:6" hidden="1" x14ac:dyDescent="0.4">
      <c r="A88" s="207"/>
      <c r="B88" s="207"/>
      <c r="C88" s="207"/>
      <c r="D88" s="207"/>
      <c r="E88" s="207"/>
      <c r="F88" s="207"/>
    </row>
    <row r="89" spans="1:6" hidden="1" x14ac:dyDescent="0.4">
      <c r="A89" s="207"/>
      <c r="B89" s="207"/>
      <c r="C89" s="207"/>
      <c r="D89" s="207"/>
      <c r="E89" s="207"/>
      <c r="F89" s="207"/>
    </row>
    <row r="90" spans="1:6" hidden="1" x14ac:dyDescent="0.4">
      <c r="A90" s="207"/>
      <c r="B90" s="207"/>
      <c r="C90" s="207"/>
      <c r="D90" s="207"/>
      <c r="E90" s="207"/>
      <c r="F90" s="207"/>
    </row>
    <row r="91" spans="1:6" hidden="1" x14ac:dyDescent="0.4">
      <c r="A91" s="207"/>
      <c r="B91" s="207"/>
      <c r="C91" s="207"/>
      <c r="D91" s="207"/>
      <c r="E91" s="207"/>
      <c r="F91" s="207"/>
    </row>
    <row r="92" spans="1:6" hidden="1" x14ac:dyDescent="0.4">
      <c r="A92" s="207"/>
      <c r="B92" s="207"/>
      <c r="C92" s="207"/>
      <c r="D92" s="207"/>
      <c r="E92" s="207"/>
      <c r="F92" s="207"/>
    </row>
    <row r="93" spans="1:6" hidden="1" x14ac:dyDescent="0.4">
      <c r="A93" s="207"/>
      <c r="B93" s="207"/>
      <c r="C93" s="207"/>
      <c r="D93" s="207"/>
      <c r="E93" s="207"/>
      <c r="F93" s="207"/>
    </row>
    <row r="94" spans="1:6" hidden="1" x14ac:dyDescent="0.4">
      <c r="A94" s="207"/>
      <c r="B94" s="207"/>
      <c r="C94" s="207"/>
      <c r="D94" s="207"/>
      <c r="E94" s="207"/>
      <c r="F94" s="207"/>
    </row>
    <row r="95" spans="1:6" hidden="1" x14ac:dyDescent="0.4">
      <c r="A95" s="207"/>
      <c r="B95" s="207"/>
      <c r="C95" s="207"/>
      <c r="D95" s="207"/>
      <c r="E95" s="207"/>
      <c r="F95" s="207"/>
    </row>
    <row r="96" spans="1:6" hidden="1" x14ac:dyDescent="0.4">
      <c r="A96" s="207"/>
      <c r="B96" s="207"/>
      <c r="C96" s="207"/>
      <c r="D96" s="207"/>
      <c r="E96" s="207"/>
      <c r="F96" s="207"/>
    </row>
    <row r="97" spans="1:6" hidden="1" x14ac:dyDescent="0.4">
      <c r="A97" s="207"/>
      <c r="B97" s="207"/>
      <c r="C97" s="207"/>
      <c r="D97" s="207"/>
      <c r="E97" s="207"/>
      <c r="F97" s="207"/>
    </row>
    <row r="98" spans="1:6" hidden="1" x14ac:dyDescent="0.4">
      <c r="A98" s="207"/>
      <c r="B98" s="207"/>
      <c r="C98" s="207"/>
      <c r="D98" s="207"/>
      <c r="E98" s="207"/>
      <c r="F98" s="207"/>
    </row>
    <row r="99" spans="1:6" hidden="1" x14ac:dyDescent="0.4">
      <c r="A99" s="207"/>
      <c r="B99" s="207"/>
      <c r="C99" s="207"/>
      <c r="D99" s="207"/>
      <c r="E99" s="207"/>
      <c r="F99" s="207"/>
    </row>
    <row r="100" spans="1:6" hidden="1" x14ac:dyDescent="0.4">
      <c r="A100" s="207"/>
      <c r="B100" s="207"/>
      <c r="C100" s="207"/>
      <c r="D100" s="207"/>
      <c r="E100" s="207"/>
      <c r="F100" s="207"/>
    </row>
    <row r="101" spans="1:6" hidden="1" x14ac:dyDescent="0.4">
      <c r="A101" s="207"/>
      <c r="B101" s="207"/>
      <c r="C101" s="207"/>
      <c r="D101" s="207"/>
      <c r="E101" s="207"/>
      <c r="F101" s="207"/>
    </row>
    <row r="102" spans="1:6" hidden="1" x14ac:dyDescent="0.4">
      <c r="A102" s="207"/>
      <c r="B102" s="207"/>
      <c r="C102" s="207"/>
      <c r="D102" s="207"/>
      <c r="E102" s="207"/>
      <c r="F102" s="207"/>
    </row>
    <row r="103" spans="1:6" hidden="1" x14ac:dyDescent="0.4">
      <c r="A103" s="207"/>
      <c r="B103" s="207"/>
      <c r="C103" s="207"/>
      <c r="D103" s="207"/>
      <c r="E103" s="207"/>
      <c r="F103" s="207"/>
    </row>
    <row r="104" spans="1:6" hidden="1" x14ac:dyDescent="0.4">
      <c r="A104" s="207"/>
      <c r="B104" s="207"/>
      <c r="C104" s="207"/>
      <c r="D104" s="207"/>
      <c r="E104" s="207"/>
      <c r="F104" s="207"/>
    </row>
    <row r="105" spans="1:6" hidden="1" x14ac:dyDescent="0.4">
      <c r="A105" s="207"/>
      <c r="B105" s="207"/>
      <c r="C105" s="207"/>
      <c r="D105" s="207"/>
      <c r="E105" s="207"/>
      <c r="F105" s="207"/>
    </row>
    <row r="106" spans="1:6" hidden="1" x14ac:dyDescent="0.4">
      <c r="A106" s="207"/>
      <c r="B106" s="207"/>
      <c r="C106" s="207"/>
      <c r="D106" s="207"/>
      <c r="E106" s="207"/>
      <c r="F106" s="207"/>
    </row>
    <row r="107" spans="1:6" hidden="1" x14ac:dyDescent="0.4">
      <c r="A107" s="207"/>
      <c r="B107" s="207"/>
      <c r="C107" s="207"/>
      <c r="D107" s="207"/>
      <c r="E107" s="207"/>
      <c r="F107" s="207"/>
    </row>
    <row r="108" spans="1:6" hidden="1" x14ac:dyDescent="0.4">
      <c r="A108" s="207"/>
      <c r="B108" s="207"/>
      <c r="C108" s="207"/>
      <c r="D108" s="207"/>
      <c r="E108" s="207"/>
      <c r="F108" s="207"/>
    </row>
    <row r="109" spans="1:6" hidden="1" x14ac:dyDescent="0.4">
      <c r="A109" s="207"/>
      <c r="B109" s="207"/>
      <c r="C109" s="207"/>
      <c r="D109" s="207"/>
      <c r="E109" s="207"/>
      <c r="F109" s="207"/>
    </row>
    <row r="110" spans="1:6" hidden="1" x14ac:dyDescent="0.4">
      <c r="A110" s="207"/>
      <c r="B110" s="207"/>
      <c r="C110" s="207"/>
      <c r="D110" s="207"/>
      <c r="E110" s="207"/>
      <c r="F110" s="207"/>
    </row>
    <row r="111" spans="1:6" hidden="1" x14ac:dyDescent="0.4">
      <c r="A111" s="207"/>
      <c r="B111" s="207"/>
      <c r="C111" s="207"/>
      <c r="D111" s="207"/>
      <c r="E111" s="207"/>
      <c r="F111" s="207"/>
    </row>
    <row r="112" spans="1:6" hidden="1" x14ac:dyDescent="0.4">
      <c r="A112" s="207"/>
      <c r="B112" s="207"/>
      <c r="C112" s="207"/>
      <c r="D112" s="207"/>
      <c r="E112" s="207"/>
      <c r="F112" s="207"/>
    </row>
    <row r="113" spans="1:6" hidden="1" x14ac:dyDescent="0.4">
      <c r="A113" s="207"/>
      <c r="B113" s="207"/>
      <c r="C113" s="207"/>
      <c r="D113" s="207"/>
      <c r="E113" s="207"/>
      <c r="F113" s="207"/>
    </row>
    <row r="114" spans="1:6" hidden="1" x14ac:dyDescent="0.4">
      <c r="A114" s="207"/>
      <c r="B114" s="207"/>
      <c r="C114" s="207"/>
      <c r="D114" s="207"/>
      <c r="E114" s="207"/>
      <c r="F114" s="207"/>
    </row>
    <row r="115" spans="1:6" hidden="1" x14ac:dyDescent="0.4">
      <c r="A115" s="207"/>
      <c r="B115" s="207"/>
      <c r="C115" s="207"/>
      <c r="D115" s="207"/>
      <c r="E115" s="207"/>
      <c r="F115" s="207"/>
    </row>
    <row r="116" spans="1:6" hidden="1" x14ac:dyDescent="0.4">
      <c r="A116" s="207"/>
      <c r="B116" s="207"/>
      <c r="C116" s="207"/>
      <c r="D116" s="207"/>
      <c r="E116" s="207"/>
      <c r="F116" s="207"/>
    </row>
    <row r="117" spans="1:6" hidden="1" x14ac:dyDescent="0.4">
      <c r="A117" s="207"/>
      <c r="B117" s="207"/>
      <c r="C117" s="207"/>
      <c r="D117" s="207"/>
      <c r="E117" s="207"/>
      <c r="F117" s="207"/>
    </row>
    <row r="118" spans="1:6" hidden="1" x14ac:dyDescent="0.4">
      <c r="A118" s="207"/>
      <c r="B118" s="207"/>
      <c r="C118" s="207"/>
      <c r="D118" s="207"/>
      <c r="E118" s="207"/>
      <c r="F118" s="207"/>
    </row>
    <row r="119" spans="1:6" hidden="1" x14ac:dyDescent="0.4">
      <c r="A119" s="207"/>
      <c r="B119" s="207"/>
      <c r="C119" s="207"/>
      <c r="D119" s="207"/>
      <c r="E119" s="207"/>
      <c r="F119" s="207"/>
    </row>
    <row r="120" spans="1:6" hidden="1" x14ac:dyDescent="0.4">
      <c r="A120" s="207"/>
      <c r="B120" s="207"/>
      <c r="C120" s="207"/>
      <c r="D120" s="207"/>
      <c r="E120" s="207"/>
      <c r="F120" s="207"/>
    </row>
    <row r="121" spans="1:6" hidden="1" x14ac:dyDescent="0.4">
      <c r="A121" s="207"/>
      <c r="B121" s="207"/>
      <c r="C121" s="207"/>
      <c r="D121" s="207"/>
      <c r="E121" s="207"/>
      <c r="F121" s="207"/>
    </row>
    <row r="122" spans="1:6" hidden="1" x14ac:dyDescent="0.4">
      <c r="A122" s="207"/>
      <c r="B122" s="207"/>
      <c r="C122" s="207"/>
      <c r="D122" s="207"/>
      <c r="E122" s="207"/>
      <c r="F122" s="207"/>
    </row>
    <row r="123" spans="1:6" hidden="1" x14ac:dyDescent="0.4">
      <c r="A123" s="207"/>
      <c r="B123" s="207"/>
      <c r="C123" s="207"/>
      <c r="D123" s="207"/>
      <c r="E123" s="207"/>
      <c r="F123" s="207"/>
    </row>
    <row r="124" spans="1:6" hidden="1" x14ac:dyDescent="0.4">
      <c r="A124" s="207"/>
      <c r="B124" s="207"/>
      <c r="C124" s="207"/>
      <c r="D124" s="207"/>
      <c r="E124" s="207"/>
      <c r="F124" s="207"/>
    </row>
    <row r="125" spans="1:6" hidden="1" x14ac:dyDescent="0.4">
      <c r="A125" s="207"/>
      <c r="B125" s="207"/>
      <c r="C125" s="207"/>
      <c r="D125" s="207"/>
      <c r="E125" s="207"/>
      <c r="F125" s="207"/>
    </row>
    <row r="126" spans="1:6" hidden="1" x14ac:dyDescent="0.4">
      <c r="A126" s="207"/>
      <c r="B126" s="207"/>
      <c r="C126" s="207"/>
      <c r="D126" s="207"/>
      <c r="E126" s="207"/>
      <c r="F126" s="207"/>
    </row>
    <row r="127" spans="1:6" hidden="1" x14ac:dyDescent="0.4">
      <c r="A127" s="207"/>
      <c r="B127" s="207"/>
      <c r="C127" s="207"/>
      <c r="D127" s="207"/>
      <c r="E127" s="207"/>
      <c r="F127" s="207"/>
    </row>
    <row r="128" spans="1:6" hidden="1" x14ac:dyDescent="0.4">
      <c r="A128" s="207"/>
      <c r="B128" s="207"/>
      <c r="C128" s="207"/>
      <c r="D128" s="207"/>
      <c r="E128" s="207"/>
      <c r="F128" s="207"/>
    </row>
    <row r="129" spans="1:6" hidden="1" x14ac:dyDescent="0.4">
      <c r="A129" s="207"/>
      <c r="B129" s="207"/>
      <c r="C129" s="207"/>
      <c r="D129" s="207"/>
      <c r="E129" s="207"/>
      <c r="F129" s="207"/>
    </row>
    <row r="130" spans="1:6" hidden="1" x14ac:dyDescent="0.4">
      <c r="A130" s="207"/>
      <c r="B130" s="207"/>
      <c r="C130" s="207"/>
      <c r="D130" s="207"/>
      <c r="E130" s="207"/>
      <c r="F130" s="207"/>
    </row>
    <row r="131" spans="1:6" hidden="1" x14ac:dyDescent="0.4">
      <c r="A131" s="207"/>
      <c r="B131" s="207"/>
      <c r="C131" s="207"/>
      <c r="D131" s="207"/>
      <c r="E131" s="207"/>
      <c r="F131" s="207"/>
    </row>
    <row r="132" spans="1:6" hidden="1" x14ac:dyDescent="0.4">
      <c r="A132" s="207"/>
      <c r="B132" s="207"/>
      <c r="C132" s="207"/>
      <c r="D132" s="207"/>
      <c r="E132" s="207"/>
      <c r="F132" s="207"/>
    </row>
    <row r="133" spans="1:6" hidden="1" x14ac:dyDescent="0.4">
      <c r="A133" s="207"/>
      <c r="B133" s="207"/>
      <c r="C133" s="207"/>
      <c r="D133" s="207"/>
      <c r="E133" s="207"/>
      <c r="F133" s="207"/>
    </row>
    <row r="134" spans="1:6" hidden="1" x14ac:dyDescent="0.4">
      <c r="A134" s="207"/>
      <c r="B134" s="207"/>
      <c r="C134" s="207"/>
      <c r="D134" s="207"/>
      <c r="E134" s="207"/>
      <c r="F134" s="207"/>
    </row>
    <row r="135" spans="1:6" hidden="1" x14ac:dyDescent="0.4">
      <c r="A135" s="207"/>
      <c r="B135" s="207"/>
      <c r="C135" s="207"/>
      <c r="D135" s="207"/>
      <c r="E135" s="207"/>
      <c r="F135" s="207"/>
    </row>
    <row r="136" spans="1:6" hidden="1" x14ac:dyDescent="0.4">
      <c r="A136" s="207"/>
      <c r="B136" s="207"/>
      <c r="C136" s="207"/>
      <c r="D136" s="207"/>
      <c r="E136" s="207"/>
      <c r="F136" s="207"/>
    </row>
    <row r="137" spans="1:6" hidden="1" x14ac:dyDescent="0.4">
      <c r="A137" s="207"/>
      <c r="B137" s="207"/>
      <c r="C137" s="207"/>
      <c r="D137" s="207"/>
      <c r="E137" s="207"/>
      <c r="F137" s="207"/>
    </row>
    <row r="138" spans="1:6" hidden="1" x14ac:dyDescent="0.4">
      <c r="A138" s="207"/>
      <c r="B138" s="207"/>
      <c r="C138" s="207"/>
      <c r="D138" s="207"/>
      <c r="E138" s="207"/>
      <c r="F138" s="207"/>
    </row>
    <row r="139" spans="1:6" hidden="1" x14ac:dyDescent="0.4">
      <c r="A139" s="207"/>
      <c r="B139" s="207"/>
      <c r="C139" s="207"/>
      <c r="D139" s="207"/>
      <c r="E139" s="207"/>
      <c r="F139" s="207"/>
    </row>
    <row r="140" spans="1:6" hidden="1" x14ac:dyDescent="0.4">
      <c r="A140" s="207"/>
      <c r="B140" s="207"/>
      <c r="C140" s="207"/>
      <c r="D140" s="207"/>
      <c r="E140" s="207"/>
      <c r="F140" s="207"/>
    </row>
    <row r="141" spans="1:6" hidden="1" x14ac:dyDescent="0.4">
      <c r="A141" s="207"/>
      <c r="B141" s="207"/>
      <c r="C141" s="207"/>
      <c r="D141" s="207"/>
      <c r="E141" s="207"/>
      <c r="F141" s="207"/>
    </row>
    <row r="142" spans="1:6" hidden="1" x14ac:dyDescent="0.4">
      <c r="A142" s="207"/>
      <c r="B142" s="207"/>
      <c r="C142" s="207"/>
      <c r="D142" s="207"/>
      <c r="E142" s="207"/>
      <c r="F142" s="207"/>
    </row>
    <row r="143" spans="1:6" hidden="1" x14ac:dyDescent="0.4">
      <c r="A143" s="207"/>
      <c r="B143" s="207"/>
      <c r="C143" s="207"/>
      <c r="D143" s="207"/>
      <c r="E143" s="207"/>
      <c r="F143" s="207"/>
    </row>
    <row r="144" spans="1:6" hidden="1" x14ac:dyDescent="0.4">
      <c r="A144" s="207"/>
      <c r="B144" s="207"/>
      <c r="C144" s="207"/>
      <c r="D144" s="207"/>
      <c r="E144" s="207"/>
      <c r="F144" s="207"/>
    </row>
    <row r="145" spans="1:6" hidden="1" x14ac:dyDescent="0.4">
      <c r="A145" s="207"/>
      <c r="B145" s="207"/>
      <c r="C145" s="207"/>
      <c r="D145" s="207"/>
      <c r="E145" s="207"/>
      <c r="F145" s="207"/>
    </row>
    <row r="146" spans="1:6" hidden="1" x14ac:dyDescent="0.4">
      <c r="A146" s="207"/>
      <c r="B146" s="207"/>
      <c r="C146" s="207"/>
      <c r="D146" s="207"/>
      <c r="E146" s="207"/>
      <c r="F146" s="207"/>
    </row>
    <row r="147" spans="1:6" hidden="1" x14ac:dyDescent="0.4">
      <c r="A147" s="207"/>
      <c r="B147" s="207"/>
      <c r="C147" s="207"/>
      <c r="D147" s="207"/>
      <c r="E147" s="207"/>
      <c r="F147" s="207"/>
    </row>
    <row r="148" spans="1:6" hidden="1" x14ac:dyDescent="0.4">
      <c r="A148" s="207"/>
      <c r="B148" s="207"/>
      <c r="C148" s="207"/>
      <c r="D148" s="207"/>
      <c r="E148" s="207"/>
      <c r="F148" s="207"/>
    </row>
    <row r="149" spans="1:6" hidden="1" x14ac:dyDescent="0.4">
      <c r="A149" s="207"/>
      <c r="B149" s="207"/>
      <c r="C149" s="207"/>
      <c r="D149" s="207"/>
      <c r="E149" s="207"/>
      <c r="F149" s="207"/>
    </row>
    <row r="150" spans="1:6" hidden="1" x14ac:dyDescent="0.4">
      <c r="A150" s="207"/>
      <c r="B150" s="207"/>
      <c r="C150" s="207"/>
      <c r="D150" s="207"/>
      <c r="E150" s="207"/>
      <c r="F150" s="207"/>
    </row>
    <row r="151" spans="1:6" hidden="1" x14ac:dyDescent="0.4">
      <c r="A151" s="207"/>
      <c r="B151" s="207"/>
      <c r="C151" s="207"/>
      <c r="D151" s="207"/>
      <c r="E151" s="207"/>
      <c r="F151" s="207"/>
    </row>
    <row r="152" spans="1:6" hidden="1" x14ac:dyDescent="0.4">
      <c r="A152" s="207"/>
      <c r="B152" s="207"/>
      <c r="C152" s="207"/>
      <c r="D152" s="207"/>
      <c r="E152" s="207"/>
      <c r="F152" s="207"/>
    </row>
    <row r="153" spans="1:6" hidden="1" x14ac:dyDescent="0.4">
      <c r="A153" s="207"/>
      <c r="B153" s="207"/>
      <c r="C153" s="207"/>
      <c r="D153" s="207"/>
      <c r="E153" s="207"/>
      <c r="F153" s="207"/>
    </row>
    <row r="154" spans="1:6" hidden="1" x14ac:dyDescent="0.4">
      <c r="A154" s="207"/>
      <c r="B154" s="207"/>
      <c r="C154" s="207"/>
      <c r="D154" s="207"/>
      <c r="E154" s="207"/>
      <c r="F154" s="207"/>
    </row>
    <row r="155" spans="1:6" hidden="1" x14ac:dyDescent="0.4">
      <c r="A155" s="207"/>
      <c r="B155" s="207"/>
      <c r="C155" s="207"/>
      <c r="D155" s="207"/>
      <c r="E155" s="207"/>
      <c r="F155" s="207"/>
    </row>
    <row r="156" spans="1:6" hidden="1" x14ac:dyDescent="0.4">
      <c r="A156" s="207"/>
      <c r="B156" s="207"/>
      <c r="C156" s="207"/>
      <c r="D156" s="207"/>
      <c r="E156" s="207"/>
      <c r="F156" s="207"/>
    </row>
    <row r="157" spans="1:6" hidden="1" x14ac:dyDescent="0.4">
      <c r="A157" s="207"/>
      <c r="B157" s="207"/>
      <c r="C157" s="207"/>
      <c r="D157" s="207"/>
      <c r="E157" s="207"/>
      <c r="F157" s="207"/>
    </row>
    <row r="158" spans="1:6" hidden="1" x14ac:dyDescent="0.4">
      <c r="A158" s="207"/>
      <c r="B158" s="207"/>
      <c r="C158" s="207"/>
      <c r="D158" s="207"/>
      <c r="E158" s="207"/>
      <c r="F158" s="207"/>
    </row>
    <row r="159" spans="1:6" hidden="1" x14ac:dyDescent="0.4">
      <c r="A159" s="207"/>
      <c r="B159" s="207"/>
      <c r="C159" s="207"/>
      <c r="D159" s="207"/>
      <c r="E159" s="207"/>
      <c r="F159" s="207"/>
    </row>
    <row r="160" spans="1:6" hidden="1" x14ac:dyDescent="0.4">
      <c r="A160" s="207"/>
      <c r="B160" s="207"/>
      <c r="C160" s="207"/>
      <c r="D160" s="207"/>
      <c r="E160" s="207"/>
      <c r="F160" s="207"/>
    </row>
    <row r="161" spans="1:6" hidden="1" x14ac:dyDescent="0.4">
      <c r="A161" s="207"/>
      <c r="B161" s="207"/>
      <c r="C161" s="207"/>
      <c r="D161" s="207"/>
      <c r="E161" s="207"/>
      <c r="F161" s="207"/>
    </row>
    <row r="162" spans="1:6" hidden="1" x14ac:dyDescent="0.4">
      <c r="A162" s="207"/>
      <c r="B162" s="207"/>
      <c r="C162" s="207"/>
      <c r="D162" s="207"/>
      <c r="E162" s="207"/>
      <c r="F162" s="207"/>
    </row>
    <row r="163" spans="1:6" hidden="1" x14ac:dyDescent="0.4">
      <c r="A163" s="207"/>
      <c r="B163" s="207"/>
      <c r="C163" s="207"/>
      <c r="D163" s="207"/>
      <c r="E163" s="207"/>
      <c r="F163" s="207"/>
    </row>
    <row r="164" spans="1:6" hidden="1" x14ac:dyDescent="0.4">
      <c r="A164" s="207"/>
      <c r="B164" s="207"/>
      <c r="C164" s="207"/>
      <c r="D164" s="207"/>
      <c r="E164" s="207"/>
      <c r="F164" s="207"/>
    </row>
    <row r="165" spans="1:6" hidden="1" x14ac:dyDescent="0.4">
      <c r="A165" s="207"/>
      <c r="B165" s="207"/>
      <c r="C165" s="207"/>
      <c r="D165" s="207"/>
      <c r="E165" s="207"/>
      <c r="F165" s="207"/>
    </row>
    <row r="166" spans="1:6" hidden="1" x14ac:dyDescent="0.4">
      <c r="A166" s="207"/>
      <c r="B166" s="207"/>
      <c r="C166" s="207"/>
      <c r="D166" s="207"/>
      <c r="E166" s="207"/>
      <c r="F166" s="207"/>
    </row>
    <row r="167" spans="1:6" hidden="1" x14ac:dyDescent="0.4">
      <c r="A167" s="207"/>
      <c r="B167" s="207"/>
      <c r="C167" s="207"/>
      <c r="D167" s="207"/>
      <c r="E167" s="207"/>
      <c r="F167" s="207"/>
    </row>
    <row r="168" spans="1:6" hidden="1" x14ac:dyDescent="0.4">
      <c r="A168" s="207"/>
      <c r="B168" s="207"/>
      <c r="C168" s="207"/>
      <c r="D168" s="207"/>
      <c r="E168" s="207"/>
      <c r="F168" s="207"/>
    </row>
    <row r="169" spans="1:6" hidden="1" x14ac:dyDescent="0.4">
      <c r="A169" s="207"/>
      <c r="B169" s="207"/>
      <c r="C169" s="207"/>
      <c r="D169" s="207"/>
      <c r="E169" s="207"/>
      <c r="F169" s="207"/>
    </row>
    <row r="170" spans="1:6" hidden="1" x14ac:dyDescent="0.4">
      <c r="A170" s="207"/>
      <c r="B170" s="207"/>
      <c r="C170" s="207"/>
      <c r="D170" s="207"/>
      <c r="E170" s="207"/>
      <c r="F170" s="207"/>
    </row>
    <row r="171" spans="1:6" hidden="1" x14ac:dyDescent="0.4">
      <c r="A171" s="207"/>
      <c r="B171" s="207"/>
      <c r="C171" s="207"/>
      <c r="D171" s="207"/>
      <c r="E171" s="207"/>
      <c r="F171" s="207"/>
    </row>
    <row r="172" spans="1:6" hidden="1" x14ac:dyDescent="0.4">
      <c r="A172" s="207"/>
      <c r="B172" s="207"/>
      <c r="C172" s="207"/>
      <c r="D172" s="207"/>
      <c r="E172" s="207"/>
      <c r="F172" s="207"/>
    </row>
    <row r="173" spans="1:6" hidden="1" x14ac:dyDescent="0.4">
      <c r="A173" s="207"/>
      <c r="B173" s="207"/>
      <c r="C173" s="207"/>
      <c r="D173" s="207"/>
      <c r="E173" s="207"/>
      <c r="F173" s="207"/>
    </row>
    <row r="174" spans="1:6" hidden="1" x14ac:dyDescent="0.4">
      <c r="A174" s="207"/>
      <c r="B174" s="207"/>
      <c r="C174" s="207"/>
      <c r="D174" s="207"/>
      <c r="E174" s="207"/>
      <c r="F174" s="207"/>
    </row>
    <row r="175" spans="1:6" hidden="1" x14ac:dyDescent="0.4">
      <c r="A175" s="207"/>
      <c r="B175" s="207"/>
      <c r="C175" s="207"/>
      <c r="D175" s="207"/>
      <c r="E175" s="207"/>
      <c r="F175" s="207"/>
    </row>
    <row r="176" spans="1:6" hidden="1" x14ac:dyDescent="0.4">
      <c r="A176" s="207"/>
      <c r="B176" s="207"/>
      <c r="C176" s="207"/>
      <c r="D176" s="207"/>
      <c r="E176" s="207"/>
      <c r="F176" s="207"/>
    </row>
    <row r="177" spans="1:6" hidden="1" x14ac:dyDescent="0.4">
      <c r="A177" s="207"/>
      <c r="B177" s="207"/>
      <c r="C177" s="207"/>
      <c r="D177" s="207"/>
      <c r="E177" s="207"/>
      <c r="F177" s="207"/>
    </row>
    <row r="178" spans="1:6" hidden="1" x14ac:dyDescent="0.4">
      <c r="A178" s="207"/>
      <c r="B178" s="207"/>
      <c r="C178" s="207"/>
      <c r="D178" s="207"/>
      <c r="E178" s="207"/>
      <c r="F178" s="207"/>
    </row>
    <row r="179" spans="1:6" hidden="1" x14ac:dyDescent="0.4">
      <c r="A179" s="207"/>
      <c r="B179" s="207"/>
      <c r="C179" s="207"/>
      <c r="D179" s="207"/>
      <c r="E179" s="207"/>
      <c r="F179" s="207"/>
    </row>
    <row r="180" spans="1:6" hidden="1" x14ac:dyDescent="0.4">
      <c r="A180" s="207"/>
      <c r="B180" s="207"/>
      <c r="C180" s="207"/>
      <c r="D180" s="207"/>
      <c r="E180" s="207"/>
      <c r="F180" s="207"/>
    </row>
    <row r="181" spans="1:6" hidden="1" x14ac:dyDescent="0.4">
      <c r="A181" s="207"/>
      <c r="B181" s="207"/>
      <c r="C181" s="207"/>
      <c r="D181" s="207"/>
      <c r="E181" s="207"/>
      <c r="F181" s="207"/>
    </row>
    <row r="182" spans="1:6" hidden="1" x14ac:dyDescent="0.4">
      <c r="A182" s="207"/>
      <c r="B182" s="207"/>
      <c r="C182" s="207"/>
      <c r="D182" s="207"/>
      <c r="E182" s="207"/>
      <c r="F182" s="207"/>
    </row>
    <row r="183" spans="1:6" hidden="1" x14ac:dyDescent="0.4">
      <c r="A183" s="207"/>
      <c r="B183" s="207"/>
      <c r="C183" s="207"/>
      <c r="D183" s="207"/>
      <c r="E183" s="207"/>
      <c r="F183" s="207"/>
    </row>
    <row r="184" spans="1:6" hidden="1" x14ac:dyDescent="0.4">
      <c r="A184" s="207"/>
      <c r="B184" s="207"/>
      <c r="C184" s="207"/>
      <c r="D184" s="207"/>
      <c r="E184" s="207"/>
      <c r="F184" s="207"/>
    </row>
    <row r="185" spans="1:6" hidden="1" x14ac:dyDescent="0.4">
      <c r="A185" s="207"/>
      <c r="B185" s="207"/>
      <c r="C185" s="207"/>
      <c r="D185" s="207"/>
      <c r="E185" s="207"/>
      <c r="F185" s="207"/>
    </row>
    <row r="186" spans="1:6" hidden="1" x14ac:dyDescent="0.4">
      <c r="A186" s="207"/>
      <c r="B186" s="207"/>
      <c r="C186" s="207"/>
      <c r="D186" s="207"/>
      <c r="E186" s="207"/>
      <c r="F186" s="207"/>
    </row>
    <row r="187" spans="1:6" hidden="1" x14ac:dyDescent="0.4">
      <c r="A187" s="207"/>
      <c r="B187" s="207"/>
      <c r="C187" s="207"/>
      <c r="D187" s="207"/>
      <c r="E187" s="207"/>
      <c r="F187" s="207"/>
    </row>
    <row r="188" spans="1:6" hidden="1" x14ac:dyDescent="0.4">
      <c r="A188" s="207"/>
      <c r="B188" s="207"/>
      <c r="C188" s="207"/>
      <c r="D188" s="207"/>
      <c r="E188" s="207"/>
      <c r="F188" s="207"/>
    </row>
    <row r="189" spans="1:6" hidden="1" x14ac:dyDescent="0.4">
      <c r="A189" s="207"/>
      <c r="B189" s="207"/>
      <c r="C189" s="207"/>
      <c r="D189" s="207"/>
      <c r="E189" s="207"/>
      <c r="F189" s="207"/>
    </row>
    <row r="190" spans="1:6" hidden="1" x14ac:dyDescent="0.4">
      <c r="A190" s="207"/>
      <c r="B190" s="207"/>
      <c r="C190" s="207"/>
      <c r="D190" s="207"/>
      <c r="E190" s="207"/>
      <c r="F190" s="207"/>
    </row>
    <row r="191" spans="1:6" hidden="1" x14ac:dyDescent="0.4">
      <c r="A191" s="207"/>
      <c r="B191" s="207"/>
      <c r="C191" s="207"/>
      <c r="D191" s="207"/>
      <c r="E191" s="207"/>
      <c r="F191" s="207"/>
    </row>
    <row r="192" spans="1:6" hidden="1" x14ac:dyDescent="0.4">
      <c r="A192" s="207"/>
      <c r="B192" s="207"/>
      <c r="C192" s="207"/>
      <c r="D192" s="207"/>
      <c r="E192" s="207"/>
      <c r="F192" s="207"/>
    </row>
    <row r="193" spans="1:6" hidden="1" x14ac:dyDescent="0.4">
      <c r="A193" s="207"/>
      <c r="B193" s="207"/>
      <c r="C193" s="207"/>
      <c r="D193" s="207"/>
      <c r="E193" s="207"/>
      <c r="F193" s="207"/>
    </row>
    <row r="194" spans="1:6" hidden="1" x14ac:dyDescent="0.4">
      <c r="A194" s="207"/>
      <c r="B194" s="207"/>
      <c r="C194" s="207"/>
      <c r="D194" s="207"/>
      <c r="E194" s="207"/>
      <c r="F194" s="207"/>
    </row>
    <row r="195" spans="1:6" hidden="1" x14ac:dyDescent="0.4">
      <c r="A195" s="207"/>
      <c r="B195" s="207"/>
      <c r="C195" s="207"/>
      <c r="D195" s="207"/>
      <c r="E195" s="207"/>
      <c r="F195" s="207"/>
    </row>
    <row r="196" spans="1:6" hidden="1" x14ac:dyDescent="0.4">
      <c r="A196" s="207"/>
      <c r="B196" s="207"/>
      <c r="C196" s="207"/>
      <c r="D196" s="207"/>
      <c r="E196" s="207"/>
      <c r="F196" s="207"/>
    </row>
    <row r="197" spans="1:6" hidden="1" x14ac:dyDescent="0.4">
      <c r="A197" s="207"/>
      <c r="B197" s="207"/>
      <c r="C197" s="207"/>
      <c r="D197" s="207"/>
      <c r="E197" s="207"/>
      <c r="F197" s="207"/>
    </row>
    <row r="198" spans="1:6" hidden="1" x14ac:dyDescent="0.4">
      <c r="A198" s="207"/>
      <c r="B198" s="207"/>
      <c r="C198" s="207"/>
      <c r="D198" s="207"/>
      <c r="E198" s="207"/>
      <c r="F198" s="207"/>
    </row>
    <row r="199" spans="1:6" hidden="1" x14ac:dyDescent="0.4">
      <c r="A199" s="207"/>
      <c r="B199" s="207"/>
      <c r="C199" s="207"/>
      <c r="D199" s="207"/>
      <c r="E199" s="207"/>
      <c r="F199" s="207"/>
    </row>
    <row r="200" spans="1:6" hidden="1" x14ac:dyDescent="0.4">
      <c r="A200" s="207"/>
      <c r="B200" s="207"/>
      <c r="C200" s="207"/>
      <c r="D200" s="207"/>
      <c r="E200" s="207"/>
      <c r="F200" s="207"/>
    </row>
    <row r="201" spans="1:6" hidden="1" x14ac:dyDescent="0.4">
      <c r="A201" s="207"/>
      <c r="B201" s="207"/>
      <c r="C201" s="207"/>
      <c r="D201" s="207"/>
      <c r="E201" s="207"/>
      <c r="F201" s="207"/>
    </row>
    <row r="202" spans="1:6" hidden="1" x14ac:dyDescent="0.4">
      <c r="A202" s="207"/>
      <c r="B202" s="207"/>
      <c r="C202" s="207"/>
      <c r="D202" s="207"/>
      <c r="E202" s="207"/>
      <c r="F202" s="207"/>
    </row>
    <row r="203" spans="1:6" hidden="1" x14ac:dyDescent="0.4">
      <c r="A203" s="207"/>
      <c r="B203" s="207"/>
      <c r="C203" s="207"/>
      <c r="D203" s="207"/>
      <c r="E203" s="207"/>
      <c r="F203" s="207"/>
    </row>
    <row r="204" spans="1:6" hidden="1" x14ac:dyDescent="0.4">
      <c r="A204" s="207"/>
      <c r="B204" s="207"/>
      <c r="C204" s="207"/>
      <c r="D204" s="207"/>
      <c r="E204" s="207"/>
      <c r="F204" s="207"/>
    </row>
    <row r="205" spans="1:6" hidden="1" x14ac:dyDescent="0.4">
      <c r="A205" s="207"/>
      <c r="B205" s="207"/>
      <c r="C205" s="207"/>
      <c r="D205" s="207"/>
      <c r="E205" s="207"/>
      <c r="F205" s="207"/>
    </row>
    <row r="206" spans="1:6" hidden="1" x14ac:dyDescent="0.4">
      <c r="A206" s="207"/>
      <c r="B206" s="207"/>
      <c r="C206" s="207"/>
      <c r="D206" s="207"/>
      <c r="E206" s="207"/>
      <c r="F206" s="207"/>
    </row>
    <row r="207" spans="1:6" hidden="1" x14ac:dyDescent="0.4">
      <c r="A207" s="207"/>
      <c r="B207" s="207"/>
      <c r="C207" s="207"/>
      <c r="D207" s="207"/>
      <c r="E207" s="207"/>
      <c r="F207" s="207"/>
    </row>
    <row r="208" spans="1:6" hidden="1" x14ac:dyDescent="0.4">
      <c r="A208" s="207"/>
      <c r="B208" s="207"/>
      <c r="C208" s="207"/>
      <c r="D208" s="207"/>
      <c r="E208" s="207"/>
      <c r="F208" s="207"/>
    </row>
    <row r="209" spans="1:6" hidden="1" x14ac:dyDescent="0.4">
      <c r="A209" s="207"/>
      <c r="B209" s="207"/>
      <c r="C209" s="207"/>
      <c r="D209" s="207"/>
      <c r="E209" s="207"/>
      <c r="F209" s="207"/>
    </row>
    <row r="210" spans="1:6" hidden="1" x14ac:dyDescent="0.4">
      <c r="A210" s="207"/>
      <c r="B210" s="207"/>
      <c r="C210" s="207"/>
      <c r="D210" s="207"/>
      <c r="E210" s="207"/>
      <c r="F210" s="207"/>
    </row>
    <row r="211" spans="1:6" hidden="1" x14ac:dyDescent="0.4">
      <c r="A211" s="207"/>
      <c r="B211" s="207"/>
      <c r="C211" s="207"/>
      <c r="D211" s="207"/>
      <c r="E211" s="207"/>
      <c r="F211" s="207"/>
    </row>
    <row r="212" spans="1:6" hidden="1" x14ac:dyDescent="0.4">
      <c r="A212" s="207"/>
      <c r="B212" s="207"/>
      <c r="C212" s="207"/>
      <c r="D212" s="207"/>
      <c r="E212" s="207"/>
      <c r="F212" s="207"/>
    </row>
    <row r="213" spans="1:6" hidden="1" x14ac:dyDescent="0.4">
      <c r="A213" s="207"/>
      <c r="B213" s="207"/>
      <c r="C213" s="207"/>
      <c r="D213" s="207"/>
      <c r="E213" s="207"/>
      <c r="F213" s="207"/>
    </row>
    <row r="214" spans="1:6" hidden="1" x14ac:dyDescent="0.4">
      <c r="A214" s="207"/>
      <c r="B214" s="207"/>
      <c r="C214" s="207"/>
      <c r="D214" s="207"/>
      <c r="E214" s="207"/>
      <c r="F214" s="207"/>
    </row>
    <row r="215" spans="1:6" hidden="1" x14ac:dyDescent="0.4">
      <c r="A215" s="207"/>
      <c r="B215" s="207"/>
      <c r="C215" s="207"/>
      <c r="D215" s="207"/>
      <c r="E215" s="207"/>
      <c r="F215" s="207"/>
    </row>
    <row r="216" spans="1:6" hidden="1" x14ac:dyDescent="0.4">
      <c r="A216" s="207"/>
      <c r="B216" s="207"/>
      <c r="C216" s="207"/>
      <c r="D216" s="207"/>
      <c r="E216" s="207"/>
      <c r="F216" s="207"/>
    </row>
    <row r="217" spans="1:6" hidden="1" x14ac:dyDescent="0.4">
      <c r="A217" s="207"/>
      <c r="B217" s="207"/>
      <c r="C217" s="207"/>
      <c r="D217" s="207"/>
      <c r="E217" s="207"/>
      <c r="F217" s="207"/>
    </row>
    <row r="218" spans="1:6" hidden="1" x14ac:dyDescent="0.4">
      <c r="A218" s="207"/>
      <c r="B218" s="207"/>
      <c r="C218" s="207"/>
      <c r="D218" s="207"/>
      <c r="E218" s="207"/>
      <c r="F218" s="207"/>
    </row>
    <row r="219" spans="1:6" hidden="1" x14ac:dyDescent="0.4">
      <c r="A219" s="207"/>
      <c r="B219" s="207"/>
      <c r="C219" s="207"/>
      <c r="D219" s="207"/>
      <c r="E219" s="207"/>
      <c r="F219" s="207"/>
    </row>
    <row r="220" spans="1:6" hidden="1" x14ac:dyDescent="0.4">
      <c r="A220" s="207"/>
      <c r="B220" s="207"/>
      <c r="C220" s="207"/>
      <c r="D220" s="207"/>
      <c r="E220" s="207"/>
      <c r="F220" s="207"/>
    </row>
    <row r="221" spans="1:6" hidden="1" x14ac:dyDescent="0.4">
      <c r="A221" s="207"/>
      <c r="B221" s="207"/>
      <c r="C221" s="207"/>
      <c r="D221" s="207"/>
      <c r="E221" s="207"/>
      <c r="F221" s="207"/>
    </row>
    <row r="222" spans="1:6" hidden="1" x14ac:dyDescent="0.4">
      <c r="A222" s="207"/>
      <c r="B222" s="207"/>
      <c r="C222" s="207"/>
      <c r="D222" s="207"/>
      <c r="E222" s="207"/>
      <c r="F222" s="207"/>
    </row>
    <row r="223" spans="1:6" hidden="1" x14ac:dyDescent="0.4">
      <c r="A223" s="207"/>
      <c r="B223" s="207"/>
      <c r="C223" s="207"/>
      <c r="D223" s="207"/>
      <c r="E223" s="207"/>
      <c r="F223" s="207"/>
    </row>
    <row r="224" spans="1:6" hidden="1" x14ac:dyDescent="0.4">
      <c r="A224" s="207"/>
      <c r="B224" s="207"/>
      <c r="C224" s="207"/>
      <c r="D224" s="207"/>
      <c r="E224" s="207"/>
      <c r="F224" s="207"/>
    </row>
    <row r="225" spans="1:6" hidden="1" x14ac:dyDescent="0.4">
      <c r="A225" s="207"/>
      <c r="B225" s="207"/>
      <c r="C225" s="207"/>
      <c r="D225" s="207"/>
      <c r="E225" s="207"/>
      <c r="F225" s="207"/>
    </row>
    <row r="226" spans="1:6" hidden="1" x14ac:dyDescent="0.4">
      <c r="A226" s="207"/>
      <c r="B226" s="207"/>
      <c r="C226" s="207"/>
      <c r="D226" s="207"/>
      <c r="E226" s="207"/>
      <c r="F226" s="207"/>
    </row>
    <row r="227" spans="1:6" hidden="1" x14ac:dyDescent="0.4">
      <c r="A227" s="207"/>
      <c r="B227" s="207"/>
      <c r="C227" s="207"/>
      <c r="D227" s="207"/>
      <c r="E227" s="207"/>
      <c r="F227" s="207"/>
    </row>
    <row r="228" spans="1:6" hidden="1" x14ac:dyDescent="0.4">
      <c r="A228" s="207"/>
      <c r="B228" s="207"/>
      <c r="C228" s="207"/>
      <c r="D228" s="207"/>
      <c r="E228" s="207"/>
      <c r="F228" s="207"/>
    </row>
    <row r="229" spans="1:6" hidden="1" x14ac:dyDescent="0.4">
      <c r="A229" s="207"/>
      <c r="B229" s="207"/>
      <c r="C229" s="207"/>
      <c r="D229" s="207"/>
      <c r="E229" s="207"/>
      <c r="F229" s="207"/>
    </row>
    <row r="230" spans="1:6" hidden="1" x14ac:dyDescent="0.4">
      <c r="A230" s="207"/>
      <c r="B230" s="207"/>
      <c r="C230" s="207"/>
      <c r="D230" s="207"/>
      <c r="E230" s="207"/>
      <c r="F230" s="207"/>
    </row>
    <row r="231" spans="1:6" hidden="1" x14ac:dyDescent="0.4">
      <c r="A231" s="207"/>
      <c r="B231" s="207"/>
      <c r="C231" s="207"/>
      <c r="D231" s="207"/>
      <c r="E231" s="207"/>
      <c r="F231" s="207"/>
    </row>
    <row r="232" spans="1:6" hidden="1" x14ac:dyDescent="0.4">
      <c r="A232" s="207"/>
      <c r="B232" s="207"/>
      <c r="C232" s="207"/>
      <c r="D232" s="207"/>
      <c r="E232" s="207"/>
      <c r="F232" s="207"/>
    </row>
    <row r="233" spans="1:6" hidden="1" x14ac:dyDescent="0.4">
      <c r="A233" s="207"/>
      <c r="B233" s="207"/>
      <c r="C233" s="207"/>
      <c r="D233" s="207"/>
      <c r="E233" s="207"/>
      <c r="F233" s="207"/>
    </row>
    <row r="234" spans="1:6" hidden="1" x14ac:dyDescent="0.4">
      <c r="A234" s="207"/>
      <c r="B234" s="207"/>
      <c r="C234" s="207"/>
      <c r="D234" s="207"/>
      <c r="E234" s="207"/>
      <c r="F234" s="207"/>
    </row>
    <row r="235" spans="1:6" hidden="1" x14ac:dyDescent="0.4">
      <c r="A235" s="207"/>
      <c r="B235" s="207"/>
      <c r="C235" s="207"/>
      <c r="D235" s="207"/>
      <c r="E235" s="207"/>
      <c r="F235" s="207"/>
    </row>
    <row r="236" spans="1:6" hidden="1" x14ac:dyDescent="0.4">
      <c r="A236" s="207"/>
      <c r="B236" s="207"/>
      <c r="C236" s="207"/>
      <c r="D236" s="207"/>
      <c r="E236" s="207"/>
      <c r="F236" s="207"/>
    </row>
    <row r="237" spans="1:6" hidden="1" x14ac:dyDescent="0.4">
      <c r="A237" s="207"/>
      <c r="B237" s="207"/>
      <c r="C237" s="207"/>
      <c r="D237" s="207"/>
      <c r="E237" s="207"/>
      <c r="F237" s="207"/>
    </row>
    <row r="238" spans="1:6" hidden="1" x14ac:dyDescent="0.4">
      <c r="A238" s="207"/>
      <c r="B238" s="207"/>
      <c r="C238" s="207"/>
      <c r="D238" s="207"/>
      <c r="E238" s="207"/>
      <c r="F238" s="207"/>
    </row>
    <row r="239" spans="1:6" hidden="1" x14ac:dyDescent="0.4">
      <c r="A239" s="207"/>
      <c r="B239" s="207"/>
      <c r="C239" s="207"/>
      <c r="D239" s="207"/>
      <c r="E239" s="207"/>
      <c r="F239" s="207"/>
    </row>
    <row r="240" spans="1:6" hidden="1" x14ac:dyDescent="0.4">
      <c r="A240" s="207"/>
      <c r="B240" s="207"/>
      <c r="C240" s="207"/>
      <c r="D240" s="207"/>
      <c r="E240" s="207"/>
      <c r="F240" s="207"/>
    </row>
    <row r="241" spans="1:6" hidden="1" x14ac:dyDescent="0.4">
      <c r="A241" s="207"/>
      <c r="B241" s="207"/>
      <c r="C241" s="207"/>
      <c r="D241" s="207"/>
      <c r="E241" s="207"/>
      <c r="F241" s="207"/>
    </row>
    <row r="242" spans="1:6" hidden="1" x14ac:dyDescent="0.4">
      <c r="A242" s="207"/>
      <c r="B242" s="207"/>
      <c r="C242" s="207"/>
      <c r="D242" s="207"/>
      <c r="E242" s="207"/>
      <c r="F242" s="207"/>
    </row>
    <row r="243" spans="1:6" hidden="1" x14ac:dyDescent="0.4">
      <c r="A243" s="207"/>
      <c r="B243" s="207"/>
      <c r="C243" s="207"/>
      <c r="D243" s="207"/>
      <c r="E243" s="207"/>
      <c r="F243" s="207"/>
    </row>
    <row r="244" spans="1:6" hidden="1" x14ac:dyDescent="0.4">
      <c r="A244" s="207"/>
      <c r="B244" s="207"/>
      <c r="C244" s="207"/>
      <c r="D244" s="207"/>
      <c r="E244" s="207"/>
      <c r="F244" s="207"/>
    </row>
    <row r="245" spans="1:6" hidden="1" x14ac:dyDescent="0.4">
      <c r="A245" s="207"/>
      <c r="B245" s="207"/>
      <c r="C245" s="207"/>
      <c r="D245" s="207"/>
      <c r="E245" s="207"/>
      <c r="F245" s="207"/>
    </row>
    <row r="246" spans="1:6" hidden="1" x14ac:dyDescent="0.4">
      <c r="A246" s="207"/>
      <c r="B246" s="207"/>
      <c r="C246" s="207"/>
      <c r="D246" s="207"/>
      <c r="E246" s="207"/>
      <c r="F246" s="207"/>
    </row>
    <row r="247" spans="1:6" hidden="1" x14ac:dyDescent="0.4">
      <c r="A247" s="207"/>
      <c r="B247" s="207"/>
      <c r="C247" s="207"/>
      <c r="D247" s="207"/>
      <c r="E247" s="207"/>
      <c r="F247" s="207"/>
    </row>
    <row r="248" spans="1:6" hidden="1" x14ac:dyDescent="0.4">
      <c r="A248" s="207"/>
      <c r="B248" s="207"/>
      <c r="C248" s="207"/>
      <c r="D248" s="207"/>
      <c r="E248" s="207"/>
      <c r="F248" s="207"/>
    </row>
    <row r="249" spans="1:6" hidden="1" x14ac:dyDescent="0.4">
      <c r="A249" s="207"/>
      <c r="B249" s="207"/>
      <c r="C249" s="207"/>
      <c r="D249" s="207"/>
      <c r="E249" s="207"/>
      <c r="F249" s="207"/>
    </row>
    <row r="250" spans="1:6" hidden="1" x14ac:dyDescent="0.4">
      <c r="A250" s="207"/>
      <c r="B250" s="207"/>
      <c r="C250" s="207"/>
      <c r="D250" s="207"/>
      <c r="E250" s="207"/>
      <c r="F250" s="207"/>
    </row>
    <row r="251" spans="1:6" hidden="1" x14ac:dyDescent="0.4">
      <c r="A251" s="207"/>
      <c r="B251" s="207"/>
      <c r="C251" s="207"/>
      <c r="D251" s="207"/>
      <c r="E251" s="207"/>
      <c r="F251" s="207"/>
    </row>
    <row r="252" spans="1:6" hidden="1" x14ac:dyDescent="0.4">
      <c r="A252" s="207"/>
      <c r="B252" s="207"/>
      <c r="C252" s="207"/>
      <c r="D252" s="207"/>
      <c r="E252" s="207"/>
      <c r="F252" s="207"/>
    </row>
    <row r="253" spans="1:6" hidden="1" x14ac:dyDescent="0.4">
      <c r="A253" s="207"/>
      <c r="B253" s="207"/>
      <c r="C253" s="207"/>
      <c r="D253" s="207"/>
      <c r="E253" s="207"/>
      <c r="F253" s="207"/>
    </row>
    <row r="254" spans="1:6" hidden="1" x14ac:dyDescent="0.4">
      <c r="A254" s="207"/>
      <c r="B254" s="207"/>
      <c r="C254" s="207"/>
      <c r="D254" s="207"/>
      <c r="E254" s="207"/>
      <c r="F254" s="207"/>
    </row>
    <row r="255" spans="1:6" hidden="1" x14ac:dyDescent="0.4">
      <c r="A255" s="207"/>
      <c r="B255" s="207"/>
      <c r="C255" s="207"/>
      <c r="D255" s="207"/>
      <c r="E255" s="207"/>
      <c r="F255" s="207"/>
    </row>
    <row r="256" spans="1:6" hidden="1" x14ac:dyDescent="0.4">
      <c r="A256" s="207"/>
      <c r="B256" s="207"/>
      <c r="C256" s="207"/>
      <c r="D256" s="207"/>
      <c r="E256" s="207"/>
      <c r="F256" s="207"/>
    </row>
    <row r="257" spans="1:6" hidden="1" x14ac:dyDescent="0.4">
      <c r="A257" s="207"/>
      <c r="B257" s="207"/>
      <c r="C257" s="207"/>
      <c r="D257" s="207"/>
      <c r="E257" s="207"/>
      <c r="F257" s="207"/>
    </row>
    <row r="258" spans="1:6" hidden="1" x14ac:dyDescent="0.4">
      <c r="A258" s="207"/>
      <c r="B258" s="207"/>
      <c r="C258" s="207"/>
      <c r="D258" s="207"/>
      <c r="E258" s="207"/>
      <c r="F258" s="207"/>
    </row>
    <row r="259" spans="1:6" hidden="1" x14ac:dyDescent="0.4">
      <c r="A259" s="207"/>
      <c r="B259" s="207"/>
      <c r="C259" s="207"/>
      <c r="D259" s="207"/>
      <c r="E259" s="207"/>
      <c r="F259" s="207"/>
    </row>
    <row r="260" spans="1:6" hidden="1" x14ac:dyDescent="0.4">
      <c r="A260" s="207"/>
      <c r="B260" s="207"/>
      <c r="C260" s="207"/>
      <c r="D260" s="207"/>
      <c r="E260" s="207"/>
      <c r="F260" s="207"/>
    </row>
    <row r="261" spans="1:6" hidden="1" x14ac:dyDescent="0.4">
      <c r="A261" s="207"/>
      <c r="B261" s="207"/>
      <c r="C261" s="207"/>
      <c r="D261" s="207"/>
      <c r="E261" s="207"/>
      <c r="F261" s="207"/>
    </row>
    <row r="262" spans="1:6" hidden="1" x14ac:dyDescent="0.4">
      <c r="A262" s="207"/>
      <c r="B262" s="207"/>
      <c r="C262" s="207"/>
      <c r="D262" s="207"/>
      <c r="E262" s="207"/>
      <c r="F262" s="207"/>
    </row>
    <row r="263" spans="1:6" hidden="1" x14ac:dyDescent="0.4">
      <c r="A263" s="207"/>
      <c r="B263" s="207"/>
      <c r="C263" s="207"/>
      <c r="D263" s="207"/>
      <c r="E263" s="207"/>
      <c r="F263" s="207"/>
    </row>
    <row r="264" spans="1:6" hidden="1" x14ac:dyDescent="0.4">
      <c r="A264" s="207"/>
      <c r="B264" s="207"/>
      <c r="C264" s="207"/>
      <c r="D264" s="207"/>
      <c r="E264" s="207"/>
      <c r="F264" s="207"/>
    </row>
    <row r="265" spans="1:6" hidden="1" x14ac:dyDescent="0.4">
      <c r="A265" s="207"/>
      <c r="B265" s="207"/>
      <c r="C265" s="207"/>
      <c r="D265" s="207"/>
      <c r="E265" s="207"/>
      <c r="F265" s="207"/>
    </row>
    <row r="266" spans="1:6" hidden="1" x14ac:dyDescent="0.4">
      <c r="A266" s="207"/>
      <c r="B266" s="207"/>
      <c r="C266" s="207"/>
      <c r="D266" s="207"/>
      <c r="E266" s="207"/>
      <c r="F266" s="207"/>
    </row>
    <row r="267" spans="1:6" hidden="1" x14ac:dyDescent="0.4">
      <c r="A267" s="207"/>
      <c r="B267" s="207"/>
      <c r="C267" s="207"/>
      <c r="D267" s="207"/>
      <c r="E267" s="207"/>
      <c r="F267" s="207"/>
    </row>
    <row r="268" spans="1:6" hidden="1" x14ac:dyDescent="0.4">
      <c r="A268" s="207"/>
      <c r="B268" s="207"/>
      <c r="C268" s="207"/>
      <c r="D268" s="207"/>
      <c r="E268" s="207"/>
      <c r="F268" s="207"/>
    </row>
    <row r="269" spans="1:6" hidden="1" x14ac:dyDescent="0.4">
      <c r="A269" s="207"/>
      <c r="B269" s="207"/>
      <c r="C269" s="207"/>
      <c r="D269" s="207"/>
      <c r="E269" s="207"/>
      <c r="F269" s="207"/>
    </row>
    <row r="270" spans="1:6" hidden="1" x14ac:dyDescent="0.4">
      <c r="A270" s="207"/>
      <c r="B270" s="207"/>
      <c r="C270" s="207"/>
      <c r="D270" s="207"/>
      <c r="E270" s="207"/>
      <c r="F270" s="207"/>
    </row>
    <row r="271" spans="1:6" hidden="1" x14ac:dyDescent="0.4">
      <c r="A271" s="207"/>
      <c r="B271" s="207"/>
      <c r="C271" s="207"/>
      <c r="D271" s="207"/>
      <c r="E271" s="207"/>
      <c r="F271" s="207"/>
    </row>
    <row r="272" spans="1:6" hidden="1" x14ac:dyDescent="0.4">
      <c r="A272" s="207"/>
      <c r="B272" s="207"/>
      <c r="C272" s="207"/>
      <c r="D272" s="207"/>
      <c r="E272" s="207"/>
      <c r="F272" s="207"/>
    </row>
    <row r="273" spans="1:6" hidden="1" x14ac:dyDescent="0.4">
      <c r="A273" s="207"/>
      <c r="B273" s="207"/>
      <c r="C273" s="207"/>
      <c r="D273" s="207"/>
      <c r="E273" s="207"/>
      <c r="F273" s="207"/>
    </row>
    <row r="274" spans="1:6" hidden="1" x14ac:dyDescent="0.4">
      <c r="A274" s="207"/>
      <c r="B274" s="207"/>
      <c r="C274" s="207"/>
      <c r="D274" s="207"/>
      <c r="E274" s="207"/>
      <c r="F274" s="207"/>
    </row>
    <row r="275" spans="1:6" hidden="1" x14ac:dyDescent="0.4">
      <c r="A275" s="207"/>
      <c r="B275" s="207"/>
      <c r="C275" s="207"/>
      <c r="D275" s="207"/>
      <c r="E275" s="207"/>
      <c r="F275" s="207"/>
    </row>
    <row r="276" spans="1:6" hidden="1" x14ac:dyDescent="0.4">
      <c r="A276" s="207"/>
      <c r="B276" s="207"/>
      <c r="C276" s="207"/>
      <c r="D276" s="207"/>
      <c r="E276" s="207"/>
      <c r="F276" s="207"/>
    </row>
    <row r="277" spans="1:6" hidden="1" x14ac:dyDescent="0.4">
      <c r="A277" s="207"/>
      <c r="B277" s="207"/>
      <c r="C277" s="207"/>
      <c r="D277" s="207"/>
      <c r="E277" s="207"/>
      <c r="F277" s="207"/>
    </row>
    <row r="278" spans="1:6" hidden="1" x14ac:dyDescent="0.4">
      <c r="A278" s="207"/>
      <c r="B278" s="207"/>
      <c r="C278" s="207"/>
      <c r="D278" s="207"/>
      <c r="E278" s="207"/>
      <c r="F278" s="207"/>
    </row>
    <row r="279" spans="1:6" hidden="1" x14ac:dyDescent="0.4">
      <c r="A279" s="207"/>
      <c r="B279" s="207"/>
      <c r="C279" s="207"/>
      <c r="D279" s="207"/>
      <c r="E279" s="207"/>
      <c r="F279" s="207"/>
    </row>
    <row r="280" spans="1:6" hidden="1" x14ac:dyDescent="0.4">
      <c r="A280" s="207"/>
      <c r="B280" s="207"/>
      <c r="C280" s="207"/>
      <c r="D280" s="207"/>
      <c r="E280" s="207"/>
      <c r="F280" s="207"/>
    </row>
    <row r="281" spans="1:6" hidden="1" x14ac:dyDescent="0.4">
      <c r="A281" s="207"/>
      <c r="B281" s="207"/>
      <c r="C281" s="207"/>
      <c r="D281" s="207"/>
      <c r="E281" s="207"/>
      <c r="F281" s="207"/>
    </row>
    <row r="282" spans="1:6" hidden="1" x14ac:dyDescent="0.4">
      <c r="A282" s="207"/>
      <c r="B282" s="207"/>
      <c r="C282" s="207"/>
      <c r="D282" s="207"/>
      <c r="E282" s="207"/>
      <c r="F282" s="207"/>
    </row>
    <row r="283" spans="1:6" hidden="1" x14ac:dyDescent="0.4">
      <c r="A283" s="207"/>
      <c r="B283" s="207"/>
      <c r="C283" s="207"/>
      <c r="D283" s="207"/>
      <c r="E283" s="207"/>
      <c r="F283" s="207"/>
    </row>
    <row r="284" spans="1:6" hidden="1" x14ac:dyDescent="0.4">
      <c r="A284" s="207"/>
      <c r="B284" s="207"/>
      <c r="C284" s="207"/>
      <c r="D284" s="207"/>
      <c r="E284" s="207"/>
      <c r="F284" s="207"/>
    </row>
    <row r="285" spans="1:6" hidden="1" x14ac:dyDescent="0.4">
      <c r="A285" s="207"/>
      <c r="B285" s="207"/>
      <c r="C285" s="207"/>
      <c r="D285" s="207"/>
      <c r="E285" s="207"/>
      <c r="F285" s="207"/>
    </row>
    <row r="286" spans="1:6" hidden="1" x14ac:dyDescent="0.4">
      <c r="A286" s="207"/>
      <c r="B286" s="207"/>
      <c r="C286" s="207"/>
      <c r="D286" s="207"/>
      <c r="E286" s="207"/>
      <c r="F286" s="207"/>
    </row>
    <row r="287" spans="1:6" hidden="1" x14ac:dyDescent="0.4">
      <c r="A287" s="207"/>
      <c r="B287" s="207"/>
      <c r="C287" s="207"/>
      <c r="D287" s="207"/>
      <c r="E287" s="207"/>
      <c r="F287" s="207"/>
    </row>
    <row r="288" spans="1:6" hidden="1" x14ac:dyDescent="0.4">
      <c r="A288" s="207"/>
      <c r="B288" s="207"/>
      <c r="C288" s="207"/>
      <c r="D288" s="207"/>
      <c r="E288" s="207"/>
      <c r="F288" s="207"/>
    </row>
    <row r="289" spans="1:6" hidden="1" x14ac:dyDescent="0.4">
      <c r="A289" s="207"/>
      <c r="B289" s="207"/>
      <c r="C289" s="207"/>
      <c r="D289" s="207"/>
      <c r="E289" s="207"/>
      <c r="F289" s="207"/>
    </row>
    <row r="290" spans="1:6" hidden="1" x14ac:dyDescent="0.4">
      <c r="A290" s="207"/>
      <c r="B290" s="207"/>
      <c r="C290" s="207"/>
      <c r="D290" s="207"/>
      <c r="E290" s="207"/>
      <c r="F290" s="207"/>
    </row>
    <row r="291" spans="1:6" hidden="1" x14ac:dyDescent="0.4">
      <c r="A291" s="207"/>
      <c r="B291" s="207"/>
      <c r="C291" s="207"/>
      <c r="D291" s="207"/>
      <c r="E291" s="207"/>
      <c r="F291" s="207"/>
    </row>
    <row r="292" spans="1:6" hidden="1" x14ac:dyDescent="0.4">
      <c r="A292" s="207"/>
      <c r="B292" s="207"/>
      <c r="C292" s="207"/>
      <c r="D292" s="207"/>
      <c r="E292" s="207"/>
      <c r="F292" s="207"/>
    </row>
    <row r="293" spans="1:6" hidden="1" x14ac:dyDescent="0.4">
      <c r="A293" s="207"/>
      <c r="B293" s="207"/>
      <c r="C293" s="207"/>
      <c r="D293" s="207"/>
      <c r="E293" s="207"/>
      <c r="F293" s="207"/>
    </row>
    <row r="294" spans="1:6" hidden="1" x14ac:dyDescent="0.4">
      <c r="A294" s="207"/>
      <c r="B294" s="207"/>
      <c r="C294" s="207"/>
      <c r="D294" s="207"/>
      <c r="E294" s="207"/>
      <c r="F294" s="207"/>
    </row>
    <row r="295" spans="1:6" hidden="1" x14ac:dyDescent="0.4">
      <c r="A295" s="207"/>
      <c r="B295" s="207"/>
      <c r="C295" s="207"/>
      <c r="D295" s="207"/>
      <c r="E295" s="207"/>
      <c r="F295" s="207"/>
    </row>
    <row r="296" spans="1:6" hidden="1" x14ac:dyDescent="0.4">
      <c r="A296" s="207"/>
      <c r="B296" s="207"/>
      <c r="C296" s="207"/>
      <c r="D296" s="207"/>
      <c r="E296" s="207"/>
      <c r="F296" s="207"/>
    </row>
    <row r="297" spans="1:6" hidden="1" x14ac:dyDescent="0.4">
      <c r="A297" s="207"/>
      <c r="B297" s="207"/>
      <c r="C297" s="207"/>
      <c r="D297" s="207"/>
      <c r="E297" s="207"/>
      <c r="F297" s="207"/>
    </row>
    <row r="298" spans="1:6" hidden="1" x14ac:dyDescent="0.4">
      <c r="A298" s="207"/>
      <c r="B298" s="207"/>
      <c r="C298" s="207"/>
      <c r="D298" s="207"/>
      <c r="E298" s="207"/>
      <c r="F298" s="207"/>
    </row>
    <row r="299" spans="1:6" hidden="1" x14ac:dyDescent="0.4">
      <c r="A299" s="207"/>
      <c r="B299" s="207"/>
      <c r="C299" s="207"/>
      <c r="D299" s="207"/>
      <c r="E299" s="207"/>
      <c r="F299" s="207"/>
    </row>
    <row r="300" spans="1:6" hidden="1" x14ac:dyDescent="0.4">
      <c r="A300" s="207"/>
      <c r="B300" s="207"/>
      <c r="C300" s="207"/>
      <c r="D300" s="207"/>
      <c r="E300" s="207"/>
      <c r="F300" s="207"/>
    </row>
    <row r="301" spans="1:6" hidden="1" x14ac:dyDescent="0.4">
      <c r="A301" s="207"/>
      <c r="B301" s="207"/>
      <c r="C301" s="207"/>
      <c r="D301" s="207"/>
      <c r="E301" s="207"/>
      <c r="F301" s="207"/>
    </row>
    <row r="302" spans="1:6" hidden="1" x14ac:dyDescent="0.4">
      <c r="A302" s="207"/>
      <c r="B302" s="207"/>
      <c r="C302" s="207"/>
      <c r="D302" s="207"/>
      <c r="E302" s="207"/>
      <c r="F302" s="207"/>
    </row>
    <row r="303" spans="1:6" hidden="1" x14ac:dyDescent="0.4">
      <c r="A303" s="207"/>
      <c r="B303" s="207"/>
      <c r="C303" s="207"/>
      <c r="D303" s="207"/>
      <c r="E303" s="207"/>
      <c r="F303" s="207"/>
    </row>
    <row r="304" spans="1:6" hidden="1" x14ac:dyDescent="0.4">
      <c r="A304" s="207"/>
      <c r="B304" s="207"/>
      <c r="C304" s="207"/>
      <c r="D304" s="207"/>
      <c r="E304" s="207"/>
      <c r="F304" s="207"/>
    </row>
    <row r="305" spans="1:6" hidden="1" x14ac:dyDescent="0.4">
      <c r="A305" s="207"/>
      <c r="B305" s="207"/>
      <c r="C305" s="207"/>
      <c r="D305" s="207"/>
      <c r="E305" s="207"/>
      <c r="F305" s="207"/>
    </row>
    <row r="306" spans="1:6" hidden="1" x14ac:dyDescent="0.4">
      <c r="A306" s="207"/>
      <c r="B306" s="207"/>
      <c r="C306" s="207"/>
      <c r="D306" s="207"/>
      <c r="E306" s="207"/>
      <c r="F306" s="207"/>
    </row>
    <row r="307" spans="1:6" hidden="1" x14ac:dyDescent="0.4">
      <c r="A307" s="207"/>
      <c r="B307" s="207"/>
      <c r="C307" s="207"/>
      <c r="D307" s="207"/>
      <c r="E307" s="207"/>
      <c r="F307" s="207"/>
    </row>
    <row r="308" spans="1:6" hidden="1" x14ac:dyDescent="0.4">
      <c r="A308" s="207"/>
      <c r="B308" s="207"/>
      <c r="C308" s="207"/>
      <c r="D308" s="207"/>
      <c r="E308" s="207"/>
      <c r="F308" s="207"/>
    </row>
    <row r="309" spans="1:6" hidden="1" x14ac:dyDescent="0.4">
      <c r="A309" s="207"/>
      <c r="B309" s="207"/>
      <c r="C309" s="207"/>
      <c r="D309" s="207"/>
      <c r="E309" s="207"/>
      <c r="F309" s="207"/>
    </row>
    <row r="310" spans="1:6" hidden="1" x14ac:dyDescent="0.4">
      <c r="A310" s="207"/>
      <c r="B310" s="207"/>
      <c r="C310" s="207"/>
      <c r="D310" s="207"/>
      <c r="E310" s="207"/>
      <c r="F310" s="207"/>
    </row>
    <row r="311" spans="1:6" hidden="1" x14ac:dyDescent="0.4">
      <c r="A311" s="207"/>
      <c r="B311" s="207"/>
      <c r="C311" s="207"/>
      <c r="D311" s="207"/>
      <c r="E311" s="207"/>
      <c r="F311" s="207"/>
    </row>
    <row r="312" spans="1:6" hidden="1" x14ac:dyDescent="0.4">
      <c r="A312" s="207"/>
      <c r="B312" s="207"/>
      <c r="C312" s="207"/>
      <c r="D312" s="207"/>
      <c r="E312" s="207"/>
      <c r="F312" s="207"/>
    </row>
    <row r="313" spans="1:6" hidden="1" x14ac:dyDescent="0.4">
      <c r="A313" s="207"/>
      <c r="B313" s="207"/>
      <c r="C313" s="207"/>
      <c r="D313" s="207"/>
      <c r="E313" s="207"/>
      <c r="F313" s="207"/>
    </row>
    <row r="314" spans="1:6" hidden="1" x14ac:dyDescent="0.4">
      <c r="A314" s="207"/>
      <c r="B314" s="207"/>
      <c r="C314" s="207"/>
      <c r="D314" s="207"/>
      <c r="E314" s="207"/>
      <c r="F314" s="207"/>
    </row>
    <row r="315" spans="1:6" hidden="1" x14ac:dyDescent="0.4">
      <c r="A315" s="207"/>
      <c r="B315" s="207"/>
      <c r="C315" s="207"/>
      <c r="D315" s="207"/>
      <c r="E315" s="207"/>
      <c r="F315" s="207"/>
    </row>
    <row r="316" spans="1:6" hidden="1" x14ac:dyDescent="0.4">
      <c r="A316" s="207"/>
      <c r="B316" s="207"/>
      <c r="C316" s="207"/>
      <c r="D316" s="207"/>
      <c r="E316" s="207"/>
      <c r="F316" s="207"/>
    </row>
    <row r="317" spans="1:6" hidden="1" x14ac:dyDescent="0.4">
      <c r="A317" s="207"/>
      <c r="B317" s="207"/>
      <c r="C317" s="207"/>
      <c r="D317" s="207"/>
      <c r="E317" s="207"/>
      <c r="F317" s="207"/>
    </row>
    <row r="318" spans="1:6" hidden="1" x14ac:dyDescent="0.4">
      <c r="A318" s="207"/>
      <c r="B318" s="207"/>
      <c r="C318" s="207"/>
      <c r="D318" s="207"/>
      <c r="E318" s="207"/>
      <c r="F318" s="207"/>
    </row>
    <row r="319" spans="1:6" hidden="1" x14ac:dyDescent="0.4">
      <c r="A319" s="207"/>
      <c r="B319" s="207"/>
      <c r="C319" s="207"/>
      <c r="D319" s="207"/>
      <c r="E319" s="207"/>
      <c r="F319" s="207"/>
    </row>
    <row r="320" spans="1:6" hidden="1" x14ac:dyDescent="0.4">
      <c r="A320" s="207"/>
      <c r="B320" s="207"/>
      <c r="C320" s="207"/>
      <c r="D320" s="207"/>
      <c r="E320" s="207"/>
      <c r="F320" s="207"/>
    </row>
    <row r="321" spans="1:6" hidden="1" x14ac:dyDescent="0.4">
      <c r="A321" s="207"/>
      <c r="B321" s="207"/>
      <c r="C321" s="207"/>
      <c r="D321" s="207"/>
      <c r="E321" s="207"/>
      <c r="F321" s="207"/>
    </row>
    <row r="322" spans="1:6" hidden="1" x14ac:dyDescent="0.4">
      <c r="A322" s="207"/>
      <c r="B322" s="207"/>
      <c r="C322" s="207"/>
      <c r="D322" s="207"/>
      <c r="E322" s="207"/>
      <c r="F322" s="207"/>
    </row>
    <row r="323" spans="1:6" hidden="1" x14ac:dyDescent="0.4">
      <c r="A323" s="207"/>
      <c r="B323" s="207"/>
      <c r="C323" s="207"/>
      <c r="D323" s="207"/>
      <c r="E323" s="207"/>
      <c r="F323" s="207"/>
    </row>
    <row r="324" spans="1:6" hidden="1" x14ac:dyDescent="0.4">
      <c r="A324" s="207"/>
      <c r="B324" s="207"/>
      <c r="C324" s="207"/>
      <c r="D324" s="207"/>
      <c r="E324" s="207"/>
      <c r="F324" s="207"/>
    </row>
    <row r="325" spans="1:6" hidden="1" x14ac:dyDescent="0.4">
      <c r="A325" s="207"/>
      <c r="B325" s="207"/>
      <c r="C325" s="207"/>
      <c r="D325" s="207"/>
      <c r="E325" s="207"/>
      <c r="F325" s="207"/>
    </row>
    <row r="326" spans="1:6" hidden="1" x14ac:dyDescent="0.4">
      <c r="A326" s="207"/>
      <c r="B326" s="207"/>
      <c r="C326" s="207"/>
      <c r="D326" s="207"/>
      <c r="E326" s="207"/>
      <c r="F326" s="207"/>
    </row>
    <row r="327" spans="1:6" hidden="1" x14ac:dyDescent="0.4">
      <c r="A327" s="207"/>
      <c r="B327" s="207"/>
      <c r="C327" s="207"/>
      <c r="D327" s="207"/>
      <c r="E327" s="207"/>
      <c r="F327" s="207"/>
    </row>
    <row r="328" spans="1:6" hidden="1" x14ac:dyDescent="0.4">
      <c r="A328" s="207"/>
      <c r="B328" s="207"/>
      <c r="C328" s="207"/>
      <c r="D328" s="207"/>
      <c r="E328" s="207"/>
      <c r="F328" s="207"/>
    </row>
    <row r="329" spans="1:6" hidden="1" x14ac:dyDescent="0.4">
      <c r="A329" s="207"/>
      <c r="B329" s="207"/>
      <c r="C329" s="207"/>
      <c r="D329" s="207"/>
      <c r="E329" s="207"/>
      <c r="F329" s="207"/>
    </row>
    <row r="330" spans="1:6" hidden="1" x14ac:dyDescent="0.4">
      <c r="A330" s="207"/>
      <c r="B330" s="207"/>
      <c r="C330" s="207"/>
      <c r="D330" s="207"/>
      <c r="E330" s="207"/>
      <c r="F330" s="207"/>
    </row>
    <row r="331" spans="1:6" hidden="1" x14ac:dyDescent="0.4">
      <c r="A331" s="207"/>
      <c r="B331" s="207"/>
      <c r="C331" s="207"/>
      <c r="D331" s="207"/>
      <c r="E331" s="207"/>
      <c r="F331" s="207"/>
    </row>
    <row r="332" spans="1:6" hidden="1" x14ac:dyDescent="0.4">
      <c r="A332" s="207"/>
      <c r="B332" s="207"/>
      <c r="C332" s="207"/>
      <c r="D332" s="207"/>
      <c r="E332" s="207"/>
      <c r="F332" s="207"/>
    </row>
    <row r="333" spans="1:6" hidden="1" x14ac:dyDescent="0.4">
      <c r="A333" s="207"/>
      <c r="B333" s="207"/>
      <c r="C333" s="207"/>
      <c r="D333" s="207"/>
      <c r="E333" s="207"/>
      <c r="F333" s="207"/>
    </row>
    <row r="334" spans="1:6" hidden="1" x14ac:dyDescent="0.4">
      <c r="A334" s="207"/>
      <c r="B334" s="207"/>
      <c r="C334" s="207"/>
      <c r="D334" s="207"/>
      <c r="E334" s="207"/>
      <c r="F334" s="207"/>
    </row>
    <row r="335" spans="1:6" hidden="1" x14ac:dyDescent="0.4">
      <c r="A335" s="207"/>
      <c r="B335" s="207"/>
      <c r="C335" s="207"/>
      <c r="D335" s="207"/>
      <c r="E335" s="207"/>
      <c r="F335" s="207"/>
    </row>
    <row r="336" spans="1:6" hidden="1" x14ac:dyDescent="0.4">
      <c r="A336" s="207"/>
      <c r="B336" s="207"/>
      <c r="C336" s="207"/>
      <c r="D336" s="207"/>
      <c r="E336" s="207"/>
      <c r="F336" s="207"/>
    </row>
    <row r="337" spans="1:6" hidden="1" x14ac:dyDescent="0.4">
      <c r="A337" s="207"/>
      <c r="B337" s="207"/>
      <c r="C337" s="207"/>
      <c r="D337" s="207"/>
      <c r="E337" s="207"/>
      <c r="F337" s="207"/>
    </row>
    <row r="338" spans="1:6" hidden="1" x14ac:dyDescent="0.4">
      <c r="A338" s="207"/>
      <c r="B338" s="207"/>
      <c r="C338" s="207"/>
      <c r="D338" s="207"/>
      <c r="E338" s="207"/>
      <c r="F338" s="207"/>
    </row>
    <row r="339" spans="1:6" hidden="1" x14ac:dyDescent="0.4">
      <c r="A339" s="207"/>
      <c r="B339" s="207"/>
      <c r="C339" s="207"/>
      <c r="D339" s="207"/>
      <c r="E339" s="207"/>
      <c r="F339" s="207"/>
    </row>
    <row r="340" spans="1:6" hidden="1" x14ac:dyDescent="0.4">
      <c r="A340" s="207"/>
      <c r="B340" s="207"/>
      <c r="C340" s="207"/>
      <c r="D340" s="207"/>
      <c r="E340" s="207"/>
      <c r="F340" s="207"/>
    </row>
    <row r="341" spans="1:6" hidden="1" x14ac:dyDescent="0.4">
      <c r="A341" s="207"/>
      <c r="B341" s="207"/>
      <c r="C341" s="207"/>
      <c r="D341" s="207"/>
      <c r="E341" s="207"/>
      <c r="F341" s="207"/>
    </row>
    <row r="342" spans="1:6" hidden="1" x14ac:dyDescent="0.4">
      <c r="A342" s="207"/>
      <c r="B342" s="207"/>
      <c r="C342" s="207"/>
      <c r="D342" s="207"/>
      <c r="E342" s="207"/>
      <c r="F342" s="207"/>
    </row>
    <row r="343" spans="1:6" hidden="1" x14ac:dyDescent="0.4">
      <c r="A343" s="207"/>
      <c r="B343" s="207"/>
      <c r="C343" s="207"/>
      <c r="D343" s="207"/>
      <c r="E343" s="207"/>
      <c r="F343" s="207"/>
    </row>
    <row r="344" spans="1:6" hidden="1" x14ac:dyDescent="0.4">
      <c r="A344" s="207"/>
      <c r="B344" s="207"/>
      <c r="C344" s="207"/>
      <c r="D344" s="207"/>
      <c r="E344" s="207"/>
      <c r="F344" s="207"/>
    </row>
    <row r="345" spans="1:6" hidden="1" x14ac:dyDescent="0.4">
      <c r="A345" s="207"/>
      <c r="B345" s="207"/>
      <c r="C345" s="207"/>
      <c r="D345" s="207"/>
      <c r="E345" s="207"/>
      <c r="F345" s="207"/>
    </row>
    <row r="346" spans="1:6" hidden="1" x14ac:dyDescent="0.4">
      <c r="A346" s="207"/>
      <c r="B346" s="207"/>
      <c r="C346" s="207"/>
      <c r="D346" s="207"/>
      <c r="E346" s="207"/>
      <c r="F346" s="207"/>
    </row>
    <row r="347" spans="1:6" hidden="1" x14ac:dyDescent="0.4">
      <c r="A347" s="207"/>
      <c r="B347" s="207"/>
      <c r="C347" s="207"/>
      <c r="D347" s="207"/>
      <c r="E347" s="207"/>
      <c r="F347" s="207"/>
    </row>
    <row r="348" spans="1:6" hidden="1" x14ac:dyDescent="0.4">
      <c r="A348" s="207"/>
      <c r="B348" s="207"/>
      <c r="C348" s="207"/>
      <c r="D348" s="207"/>
      <c r="E348" s="207"/>
      <c r="F348" s="207"/>
    </row>
    <row r="349" spans="1:6" hidden="1" x14ac:dyDescent="0.4">
      <c r="A349" s="207"/>
      <c r="B349" s="207"/>
      <c r="C349" s="207"/>
      <c r="D349" s="207"/>
      <c r="E349" s="207"/>
      <c r="F349" s="207"/>
    </row>
    <row r="350" spans="1:6" hidden="1" x14ac:dyDescent="0.4">
      <c r="A350" s="207"/>
      <c r="B350" s="207"/>
      <c r="C350" s="207"/>
      <c r="D350" s="207"/>
      <c r="E350" s="207"/>
      <c r="F350" s="207"/>
    </row>
    <row r="351" spans="1:6" hidden="1" x14ac:dyDescent="0.4">
      <c r="A351" s="207"/>
      <c r="B351" s="207"/>
      <c r="C351" s="207"/>
      <c r="D351" s="207"/>
      <c r="E351" s="207"/>
      <c r="F351" s="207"/>
    </row>
    <row r="352" spans="1:6" hidden="1" x14ac:dyDescent="0.4">
      <c r="A352" s="207"/>
      <c r="B352" s="207"/>
      <c r="C352" s="207"/>
      <c r="D352" s="207"/>
      <c r="E352" s="207"/>
      <c r="F352" s="207"/>
    </row>
    <row r="353" spans="1:6" hidden="1" x14ac:dyDescent="0.4">
      <c r="A353" s="207"/>
      <c r="B353" s="207"/>
      <c r="C353" s="207"/>
      <c r="D353" s="207"/>
      <c r="E353" s="207"/>
      <c r="F353" s="207"/>
    </row>
    <row r="354" spans="1:6" hidden="1" x14ac:dyDescent="0.4">
      <c r="A354" s="207"/>
      <c r="B354" s="207"/>
      <c r="C354" s="207"/>
      <c r="D354" s="207"/>
      <c r="E354" s="207"/>
      <c r="F354" s="207"/>
    </row>
    <row r="355" spans="1:6" hidden="1" x14ac:dyDescent="0.4">
      <c r="A355" s="207"/>
      <c r="B355" s="207"/>
      <c r="C355" s="207"/>
      <c r="D355" s="207"/>
      <c r="E355" s="207"/>
      <c r="F355" s="207"/>
    </row>
    <row r="356" spans="1:6" hidden="1" x14ac:dyDescent="0.4">
      <c r="A356" s="207"/>
      <c r="B356" s="207"/>
      <c r="C356" s="207"/>
      <c r="D356" s="207"/>
      <c r="E356" s="207"/>
      <c r="F356" s="207"/>
    </row>
    <row r="357" spans="1:6" hidden="1" x14ac:dyDescent="0.4">
      <c r="A357" s="207"/>
      <c r="B357" s="207"/>
      <c r="C357" s="207"/>
      <c r="D357" s="207"/>
      <c r="E357" s="207"/>
      <c r="F357" s="207"/>
    </row>
    <row r="358" spans="1:6" hidden="1" x14ac:dyDescent="0.4">
      <c r="A358" s="207"/>
      <c r="B358" s="207"/>
      <c r="C358" s="207"/>
      <c r="D358" s="207"/>
      <c r="E358" s="207"/>
      <c r="F358" s="207"/>
    </row>
    <row r="359" spans="1:6" hidden="1" x14ac:dyDescent="0.4">
      <c r="A359" s="207"/>
      <c r="B359" s="207"/>
      <c r="C359" s="207"/>
      <c r="D359" s="207"/>
      <c r="E359" s="207"/>
      <c r="F359" s="207"/>
    </row>
    <row r="360" spans="1:6" hidden="1" x14ac:dyDescent="0.4">
      <c r="A360" s="207"/>
      <c r="B360" s="207"/>
      <c r="C360" s="207"/>
      <c r="D360" s="207"/>
      <c r="E360" s="207"/>
      <c r="F360" s="207"/>
    </row>
    <row r="361" spans="1:6" hidden="1" x14ac:dyDescent="0.4">
      <c r="A361" s="207"/>
      <c r="B361" s="207"/>
      <c r="C361" s="207"/>
      <c r="D361" s="207"/>
      <c r="E361" s="207"/>
      <c r="F361" s="207"/>
    </row>
    <row r="362" spans="1:6" hidden="1" x14ac:dyDescent="0.4">
      <c r="A362" s="207"/>
      <c r="B362" s="207"/>
      <c r="C362" s="207"/>
      <c r="D362" s="207"/>
      <c r="E362" s="207"/>
      <c r="F362" s="207"/>
    </row>
    <row r="363" spans="1:6" hidden="1" x14ac:dyDescent="0.4">
      <c r="A363" s="207"/>
      <c r="B363" s="207"/>
      <c r="C363" s="207"/>
      <c r="D363" s="207"/>
      <c r="E363" s="207"/>
      <c r="F363" s="207"/>
    </row>
    <row r="364" spans="1:6" hidden="1" x14ac:dyDescent="0.4">
      <c r="A364" s="207"/>
      <c r="B364" s="207"/>
      <c r="C364" s="207"/>
      <c r="D364" s="207"/>
      <c r="E364" s="207"/>
      <c r="F364" s="207"/>
    </row>
    <row r="365" spans="1:6" hidden="1" x14ac:dyDescent="0.4">
      <c r="A365" s="207"/>
      <c r="B365" s="207"/>
      <c r="C365" s="207"/>
      <c r="D365" s="207"/>
      <c r="E365" s="207"/>
      <c r="F365" s="207"/>
    </row>
    <row r="366" spans="1:6" hidden="1" x14ac:dyDescent="0.4">
      <c r="A366" s="207"/>
      <c r="B366" s="207"/>
      <c r="C366" s="207"/>
      <c r="D366" s="207"/>
      <c r="E366" s="207"/>
      <c r="F366" s="207"/>
    </row>
    <row r="367" spans="1:6" hidden="1" x14ac:dyDescent="0.4">
      <c r="A367" s="207"/>
      <c r="B367" s="207"/>
      <c r="C367" s="207"/>
      <c r="D367" s="207"/>
      <c r="E367" s="207"/>
      <c r="F367" s="207"/>
    </row>
    <row r="368" spans="1:6" hidden="1" x14ac:dyDescent="0.4">
      <c r="A368" s="207"/>
      <c r="B368" s="207"/>
      <c r="C368" s="207"/>
      <c r="D368" s="207"/>
      <c r="E368" s="207"/>
      <c r="F368" s="207"/>
    </row>
    <row r="369" spans="1:6" hidden="1" x14ac:dyDescent="0.4">
      <c r="A369" s="207"/>
      <c r="B369" s="207"/>
      <c r="C369" s="207"/>
      <c r="D369" s="207"/>
      <c r="E369" s="207"/>
      <c r="F369" s="207"/>
    </row>
    <row r="370" spans="1:6" hidden="1" x14ac:dyDescent="0.4">
      <c r="A370" s="207"/>
      <c r="B370" s="207"/>
      <c r="C370" s="207"/>
      <c r="D370" s="207"/>
      <c r="E370" s="207"/>
      <c r="F370" s="207"/>
    </row>
    <row r="371" spans="1:6" hidden="1" x14ac:dyDescent="0.4">
      <c r="A371" s="207"/>
      <c r="B371" s="207"/>
      <c r="C371" s="207"/>
      <c r="D371" s="207"/>
      <c r="E371" s="207"/>
      <c r="F371" s="207"/>
    </row>
    <row r="372" spans="1:6" hidden="1" x14ac:dyDescent="0.4">
      <c r="A372" s="207"/>
      <c r="B372" s="207"/>
      <c r="C372" s="207"/>
      <c r="D372" s="207"/>
      <c r="E372" s="207"/>
      <c r="F372" s="207"/>
    </row>
    <row r="373" spans="1:6" hidden="1" x14ac:dyDescent="0.4">
      <c r="A373" s="207"/>
      <c r="B373" s="207"/>
      <c r="C373" s="207"/>
      <c r="D373" s="207"/>
      <c r="E373" s="207"/>
      <c r="F373" s="207"/>
    </row>
    <row r="374" spans="1:6" hidden="1" x14ac:dyDescent="0.4">
      <c r="A374" s="207"/>
      <c r="B374" s="207"/>
      <c r="C374" s="207"/>
      <c r="D374" s="207"/>
      <c r="E374" s="207"/>
      <c r="F374" s="207"/>
    </row>
    <row r="375" spans="1:6" hidden="1" x14ac:dyDescent="0.4">
      <c r="A375" s="207"/>
      <c r="B375" s="207"/>
      <c r="C375" s="207"/>
      <c r="D375" s="207"/>
      <c r="E375" s="207"/>
      <c r="F375" s="207"/>
    </row>
    <row r="376" spans="1:6" hidden="1" x14ac:dyDescent="0.4">
      <c r="A376" s="207"/>
      <c r="B376" s="207"/>
      <c r="C376" s="207"/>
      <c r="D376" s="207"/>
      <c r="E376" s="207"/>
      <c r="F376" s="207"/>
    </row>
    <row r="377" spans="1:6" hidden="1" x14ac:dyDescent="0.4">
      <c r="A377" s="207"/>
      <c r="B377" s="207"/>
      <c r="C377" s="207"/>
      <c r="D377" s="207"/>
      <c r="E377" s="207"/>
      <c r="F377" s="207"/>
    </row>
    <row r="378" spans="1:6" hidden="1" x14ac:dyDescent="0.4">
      <c r="A378" s="207"/>
      <c r="B378" s="207"/>
      <c r="C378" s="207"/>
      <c r="D378" s="207"/>
      <c r="E378" s="207"/>
      <c r="F378" s="207"/>
    </row>
    <row r="379" spans="1:6" hidden="1" x14ac:dyDescent="0.4">
      <c r="A379" s="207"/>
      <c r="B379" s="207"/>
      <c r="C379" s="207"/>
      <c r="D379" s="207"/>
      <c r="E379" s="207"/>
      <c r="F379" s="207"/>
    </row>
    <row r="380" spans="1:6" hidden="1" x14ac:dyDescent="0.4">
      <c r="A380" s="207"/>
      <c r="B380" s="207"/>
      <c r="C380" s="207"/>
      <c r="D380" s="207"/>
      <c r="E380" s="207"/>
      <c r="F380" s="207"/>
    </row>
    <row r="381" spans="1:6" hidden="1" x14ac:dyDescent="0.4">
      <c r="A381" s="207"/>
      <c r="B381" s="207"/>
      <c r="C381" s="207"/>
      <c r="D381" s="207"/>
      <c r="E381" s="207"/>
      <c r="F381" s="207"/>
    </row>
    <row r="382" spans="1:6" hidden="1" x14ac:dyDescent="0.4">
      <c r="A382" s="207"/>
      <c r="B382" s="207"/>
      <c r="C382" s="207"/>
      <c r="D382" s="207"/>
      <c r="E382" s="207"/>
      <c r="F382" s="207"/>
    </row>
    <row r="383" spans="1:6" hidden="1" x14ac:dyDescent="0.4">
      <c r="A383" s="207"/>
      <c r="B383" s="207"/>
      <c r="C383" s="207"/>
      <c r="D383" s="207"/>
      <c r="E383" s="207"/>
      <c r="F383" s="207"/>
    </row>
    <row r="384" spans="1:6" hidden="1" x14ac:dyDescent="0.4">
      <c r="A384" s="207"/>
      <c r="B384" s="207"/>
      <c r="C384" s="207"/>
      <c r="D384" s="207"/>
      <c r="E384" s="207"/>
      <c r="F384" s="207"/>
    </row>
    <row r="385" spans="1:6" hidden="1" x14ac:dyDescent="0.4">
      <c r="A385" s="207"/>
      <c r="B385" s="207"/>
      <c r="C385" s="207"/>
      <c r="D385" s="207"/>
      <c r="E385" s="207"/>
      <c r="F385" s="207"/>
    </row>
    <row r="386" spans="1:6" hidden="1" x14ac:dyDescent="0.4">
      <c r="A386" s="207"/>
      <c r="B386" s="207"/>
      <c r="C386" s="207"/>
      <c r="D386" s="207"/>
      <c r="E386" s="207"/>
      <c r="F386" s="207"/>
    </row>
    <row r="387" spans="1:6" hidden="1" x14ac:dyDescent="0.4">
      <c r="A387" s="207"/>
      <c r="B387" s="207"/>
      <c r="C387" s="207"/>
      <c r="D387" s="207"/>
      <c r="E387" s="207"/>
      <c r="F387" s="207"/>
    </row>
    <row r="388" spans="1:6" hidden="1" x14ac:dyDescent="0.4">
      <c r="A388" s="207"/>
      <c r="B388" s="207"/>
      <c r="C388" s="207"/>
      <c r="D388" s="207"/>
      <c r="E388" s="207"/>
      <c r="F388" s="207"/>
    </row>
    <row r="389" spans="1:6" hidden="1" x14ac:dyDescent="0.4">
      <c r="A389" s="207"/>
      <c r="B389" s="207"/>
      <c r="C389" s="207"/>
      <c r="D389" s="207"/>
      <c r="E389" s="207"/>
      <c r="F389" s="207"/>
    </row>
    <row r="390" spans="1:6" hidden="1" x14ac:dyDescent="0.4">
      <c r="A390" s="207"/>
      <c r="B390" s="207"/>
      <c r="C390" s="207"/>
      <c r="D390" s="207"/>
      <c r="E390" s="207"/>
      <c r="F390" s="207"/>
    </row>
    <row r="391" spans="1:6" hidden="1" x14ac:dyDescent="0.4">
      <c r="A391" s="207"/>
      <c r="B391" s="207"/>
      <c r="C391" s="207"/>
      <c r="D391" s="207"/>
      <c r="E391" s="207"/>
      <c r="F391" s="207"/>
    </row>
    <row r="392" spans="1:6" hidden="1" x14ac:dyDescent="0.4">
      <c r="A392" s="207"/>
      <c r="B392" s="207"/>
      <c r="C392" s="207"/>
      <c r="D392" s="207"/>
      <c r="E392" s="207"/>
      <c r="F392" s="207"/>
    </row>
    <row r="393" spans="1:6" hidden="1" x14ac:dyDescent="0.4">
      <c r="A393" s="207"/>
      <c r="B393" s="207"/>
      <c r="C393" s="207"/>
      <c r="D393" s="207"/>
      <c r="E393" s="207"/>
      <c r="F393" s="207"/>
    </row>
    <row r="394" spans="1:6" hidden="1" x14ac:dyDescent="0.4">
      <c r="A394" s="207"/>
      <c r="B394" s="207"/>
      <c r="C394" s="207"/>
      <c r="D394" s="207"/>
      <c r="E394" s="207"/>
      <c r="F394" s="207"/>
    </row>
    <row r="395" spans="1:6" hidden="1" x14ac:dyDescent="0.4">
      <c r="A395" s="207"/>
      <c r="B395" s="207"/>
      <c r="C395" s="207"/>
      <c r="D395" s="207"/>
      <c r="E395" s="207"/>
      <c r="F395" s="207"/>
    </row>
    <row r="396" spans="1:6" hidden="1" x14ac:dyDescent="0.4">
      <c r="A396" s="207"/>
      <c r="B396" s="207"/>
      <c r="C396" s="207"/>
      <c r="D396" s="207"/>
      <c r="E396" s="207"/>
      <c r="F396" s="207"/>
    </row>
    <row r="397" spans="1:6" hidden="1" x14ac:dyDescent="0.4">
      <c r="A397" s="207"/>
      <c r="B397" s="207"/>
      <c r="C397" s="207"/>
      <c r="D397" s="207"/>
      <c r="E397" s="207"/>
      <c r="F397" s="207"/>
    </row>
    <row r="398" spans="1:6" hidden="1" x14ac:dyDescent="0.4">
      <c r="A398" s="207"/>
      <c r="B398" s="207"/>
      <c r="C398" s="207"/>
      <c r="D398" s="207"/>
      <c r="E398" s="207"/>
      <c r="F398" s="207"/>
    </row>
    <row r="399" spans="1:6" hidden="1" x14ac:dyDescent="0.4">
      <c r="A399" s="207"/>
      <c r="B399" s="207"/>
      <c r="C399" s="207"/>
      <c r="D399" s="207"/>
      <c r="E399" s="207"/>
      <c r="F399" s="207"/>
    </row>
    <row r="400" spans="1:6" hidden="1" x14ac:dyDescent="0.4">
      <c r="A400" s="207"/>
      <c r="B400" s="207"/>
      <c r="C400" s="207"/>
      <c r="D400" s="207"/>
      <c r="E400" s="207"/>
      <c r="F400" s="207"/>
    </row>
    <row r="401" spans="1:6" hidden="1" x14ac:dyDescent="0.4">
      <c r="A401" s="207"/>
      <c r="B401" s="207"/>
      <c r="C401" s="207"/>
      <c r="D401" s="207"/>
      <c r="E401" s="207"/>
      <c r="F401" s="207"/>
    </row>
    <row r="402" spans="1:6" hidden="1" x14ac:dyDescent="0.4">
      <c r="A402" s="207"/>
      <c r="B402" s="207"/>
      <c r="C402" s="207"/>
      <c r="D402" s="207"/>
      <c r="E402" s="207"/>
      <c r="F402" s="207"/>
    </row>
    <row r="403" spans="1:6" hidden="1" x14ac:dyDescent="0.4">
      <c r="A403" s="207"/>
      <c r="B403" s="207"/>
      <c r="C403" s="207"/>
      <c r="D403" s="207"/>
      <c r="E403" s="207"/>
      <c r="F403" s="207"/>
    </row>
    <row r="404" spans="1:6" hidden="1" x14ac:dyDescent="0.4">
      <c r="A404" s="207"/>
      <c r="B404" s="207"/>
      <c r="C404" s="207"/>
      <c r="D404" s="207"/>
      <c r="E404" s="207"/>
      <c r="F404" s="207"/>
    </row>
    <row r="405" spans="1:6" hidden="1" x14ac:dyDescent="0.4">
      <c r="A405" s="207"/>
      <c r="B405" s="207"/>
      <c r="C405" s="207"/>
      <c r="D405" s="207"/>
      <c r="E405" s="207"/>
      <c r="F405" s="207"/>
    </row>
    <row r="406" spans="1:6" hidden="1" x14ac:dyDescent="0.4">
      <c r="A406" s="207"/>
      <c r="B406" s="207"/>
      <c r="C406" s="207"/>
      <c r="D406" s="207"/>
      <c r="E406" s="207"/>
      <c r="F406" s="207"/>
    </row>
    <row r="407" spans="1:6" hidden="1" x14ac:dyDescent="0.4">
      <c r="A407" s="207"/>
      <c r="B407" s="207"/>
      <c r="C407" s="207"/>
      <c r="D407" s="207"/>
      <c r="E407" s="207"/>
      <c r="F407" s="207"/>
    </row>
    <row r="408" spans="1:6" hidden="1" x14ac:dyDescent="0.4">
      <c r="A408" s="207"/>
      <c r="B408" s="207"/>
      <c r="C408" s="207"/>
      <c r="D408" s="207"/>
      <c r="E408" s="207"/>
      <c r="F408" s="207"/>
    </row>
    <row r="409" spans="1:6" hidden="1" x14ac:dyDescent="0.4">
      <c r="A409" s="207"/>
      <c r="B409" s="207"/>
      <c r="C409" s="207"/>
      <c r="D409" s="207"/>
      <c r="E409" s="207"/>
      <c r="F409" s="207"/>
    </row>
    <row r="410" spans="1:6" hidden="1" x14ac:dyDescent="0.4">
      <c r="A410" s="207"/>
      <c r="B410" s="207"/>
      <c r="C410" s="207"/>
      <c r="D410" s="207"/>
      <c r="E410" s="207"/>
      <c r="F410" s="207"/>
    </row>
    <row r="411" spans="1:6" hidden="1" x14ac:dyDescent="0.4">
      <c r="A411" s="207"/>
      <c r="B411" s="207"/>
      <c r="C411" s="207"/>
      <c r="D411" s="207"/>
      <c r="E411" s="207"/>
      <c r="F411" s="207"/>
    </row>
    <row r="412" spans="1:6" hidden="1" x14ac:dyDescent="0.4">
      <c r="A412" s="207"/>
      <c r="B412" s="207"/>
      <c r="C412" s="207"/>
      <c r="D412" s="207"/>
      <c r="E412" s="207"/>
      <c r="F412" s="207"/>
    </row>
    <row r="413" spans="1:6" hidden="1" x14ac:dyDescent="0.4">
      <c r="A413" s="207"/>
      <c r="B413" s="207"/>
      <c r="C413" s="207"/>
      <c r="D413" s="207"/>
      <c r="E413" s="207"/>
      <c r="F413" s="207"/>
    </row>
    <row r="414" spans="1:6" hidden="1" x14ac:dyDescent="0.4">
      <c r="A414" s="207"/>
      <c r="B414" s="207"/>
      <c r="C414" s="207"/>
      <c r="D414" s="207"/>
      <c r="E414" s="207"/>
      <c r="F414" s="207"/>
    </row>
    <row r="415" spans="1:6" hidden="1" x14ac:dyDescent="0.4">
      <c r="A415" s="207"/>
      <c r="B415" s="207"/>
      <c r="C415" s="207"/>
      <c r="D415" s="207"/>
      <c r="E415" s="207"/>
      <c r="F415" s="207"/>
    </row>
    <row r="416" spans="1:6" hidden="1" x14ac:dyDescent="0.4">
      <c r="A416" s="207"/>
      <c r="B416" s="207"/>
      <c r="C416" s="207"/>
      <c r="D416" s="207"/>
      <c r="E416" s="207"/>
      <c r="F416" s="207"/>
    </row>
    <row r="417" spans="1:6" hidden="1" x14ac:dyDescent="0.4">
      <c r="A417" s="207"/>
      <c r="B417" s="207"/>
      <c r="C417" s="207"/>
      <c r="D417" s="207"/>
      <c r="E417" s="207"/>
      <c r="F417" s="207"/>
    </row>
    <row r="418" spans="1:6" hidden="1" x14ac:dyDescent="0.4">
      <c r="A418" s="207"/>
      <c r="B418" s="207"/>
      <c r="C418" s="207"/>
      <c r="D418" s="207"/>
      <c r="E418" s="207"/>
      <c r="F418" s="207"/>
    </row>
    <row r="419" spans="1:6" hidden="1" x14ac:dyDescent="0.4">
      <c r="A419" s="207"/>
      <c r="B419" s="207"/>
      <c r="C419" s="207"/>
      <c r="D419" s="207"/>
      <c r="E419" s="207"/>
      <c r="F419" s="207"/>
    </row>
    <row r="420" spans="1:6" hidden="1" x14ac:dyDescent="0.4">
      <c r="A420" s="207"/>
      <c r="B420" s="207"/>
      <c r="C420" s="207"/>
      <c r="D420" s="207"/>
      <c r="E420" s="207"/>
      <c r="F420" s="207"/>
    </row>
    <row r="421" spans="1:6" hidden="1" x14ac:dyDescent="0.4">
      <c r="A421" s="207"/>
      <c r="B421" s="207"/>
      <c r="C421" s="207"/>
      <c r="D421" s="207"/>
      <c r="E421" s="207"/>
      <c r="F421" s="207"/>
    </row>
    <row r="422" spans="1:6" hidden="1" x14ac:dyDescent="0.4">
      <c r="A422" s="207"/>
      <c r="B422" s="207"/>
      <c r="C422" s="207"/>
      <c r="D422" s="207"/>
      <c r="E422" s="207"/>
      <c r="F422" s="207"/>
    </row>
    <row r="423" spans="1:6" hidden="1" x14ac:dyDescent="0.4">
      <c r="A423" s="207"/>
      <c r="B423" s="207"/>
      <c r="C423" s="207"/>
      <c r="D423" s="207"/>
      <c r="E423" s="207"/>
      <c r="F423" s="207"/>
    </row>
    <row r="424" spans="1:6" hidden="1" x14ac:dyDescent="0.4">
      <c r="A424" s="207"/>
      <c r="B424" s="207"/>
      <c r="C424" s="207"/>
      <c r="D424" s="207"/>
      <c r="E424" s="207"/>
      <c r="F424" s="207"/>
    </row>
    <row r="425" spans="1:6" hidden="1" x14ac:dyDescent="0.4">
      <c r="A425" s="207"/>
      <c r="B425" s="207"/>
      <c r="C425" s="207"/>
      <c r="D425" s="207"/>
      <c r="E425" s="207"/>
      <c r="F425" s="207"/>
    </row>
    <row r="426" spans="1:6" hidden="1" x14ac:dyDescent="0.4">
      <c r="A426" s="207"/>
      <c r="B426" s="207"/>
      <c r="C426" s="207"/>
      <c r="D426" s="207"/>
      <c r="E426" s="207"/>
      <c r="F426" s="207"/>
    </row>
    <row r="427" spans="1:6" hidden="1" x14ac:dyDescent="0.4">
      <c r="A427" s="207"/>
      <c r="B427" s="207"/>
      <c r="C427" s="207"/>
      <c r="D427" s="207"/>
      <c r="E427" s="207"/>
      <c r="F427" s="207"/>
    </row>
    <row r="428" spans="1:6" hidden="1" x14ac:dyDescent="0.4">
      <c r="A428" s="207"/>
      <c r="B428" s="207"/>
      <c r="C428" s="207"/>
      <c r="D428" s="207"/>
      <c r="E428" s="207"/>
      <c r="F428" s="207"/>
    </row>
    <row r="429" spans="1:6" hidden="1" x14ac:dyDescent="0.4">
      <c r="A429" s="207"/>
      <c r="B429" s="207"/>
      <c r="C429" s="207"/>
      <c r="D429" s="207"/>
      <c r="E429" s="207"/>
      <c r="F429" s="207"/>
    </row>
    <row r="430" spans="1:6" hidden="1" x14ac:dyDescent="0.4">
      <c r="A430" s="207"/>
      <c r="B430" s="207"/>
      <c r="C430" s="207"/>
      <c r="D430" s="207"/>
      <c r="E430" s="207"/>
      <c r="F430" s="207"/>
    </row>
    <row r="431" spans="1:6" hidden="1" x14ac:dyDescent="0.4">
      <c r="A431" s="207"/>
      <c r="B431" s="207"/>
      <c r="C431" s="207"/>
      <c r="D431" s="207"/>
      <c r="E431" s="207"/>
      <c r="F431" s="207"/>
    </row>
    <row r="432" spans="1:6" hidden="1" x14ac:dyDescent="0.4">
      <c r="A432" s="207"/>
      <c r="B432" s="207"/>
      <c r="C432" s="207"/>
      <c r="D432" s="207"/>
      <c r="E432" s="207"/>
      <c r="F432" s="207"/>
    </row>
    <row r="433" spans="1:6" hidden="1" x14ac:dyDescent="0.4">
      <c r="A433" s="207"/>
      <c r="B433" s="207"/>
      <c r="C433" s="207"/>
      <c r="D433" s="207"/>
      <c r="E433" s="207"/>
      <c r="F433" s="207"/>
    </row>
    <row r="434" spans="1:6" hidden="1" x14ac:dyDescent="0.4">
      <c r="A434" s="207"/>
      <c r="B434" s="207"/>
      <c r="C434" s="207"/>
      <c r="D434" s="207"/>
      <c r="E434" s="207"/>
      <c r="F434" s="207"/>
    </row>
    <row r="435" spans="1:6" hidden="1" x14ac:dyDescent="0.4">
      <c r="A435" s="207"/>
      <c r="B435" s="207"/>
      <c r="C435" s="207"/>
      <c r="D435" s="207"/>
      <c r="E435" s="207"/>
      <c r="F435" s="207"/>
    </row>
    <row r="436" spans="1:6" hidden="1" x14ac:dyDescent="0.4">
      <c r="A436" s="207"/>
      <c r="B436" s="207"/>
      <c r="C436" s="207"/>
      <c r="D436" s="207"/>
      <c r="E436" s="207"/>
      <c r="F436" s="207"/>
    </row>
    <row r="437" spans="1:6" hidden="1" x14ac:dyDescent="0.4">
      <c r="A437" s="207"/>
      <c r="B437" s="207"/>
      <c r="C437" s="207"/>
      <c r="D437" s="207"/>
      <c r="E437" s="207"/>
      <c r="F437" s="207"/>
    </row>
    <row r="438" spans="1:6" hidden="1" x14ac:dyDescent="0.4">
      <c r="A438" s="207"/>
      <c r="B438" s="207"/>
      <c r="C438" s="207"/>
      <c r="D438" s="207"/>
      <c r="E438" s="207"/>
      <c r="F438" s="207"/>
    </row>
    <row r="439" spans="1:6" hidden="1" x14ac:dyDescent="0.4">
      <c r="A439" s="207"/>
      <c r="B439" s="207"/>
      <c r="C439" s="207"/>
      <c r="D439" s="207"/>
      <c r="E439" s="207"/>
      <c r="F439" s="207"/>
    </row>
    <row r="440" spans="1:6" hidden="1" x14ac:dyDescent="0.4">
      <c r="A440" s="207"/>
      <c r="B440" s="207"/>
      <c r="C440" s="207"/>
      <c r="D440" s="207"/>
      <c r="E440" s="207"/>
      <c r="F440" s="207"/>
    </row>
    <row r="441" spans="1:6" hidden="1" x14ac:dyDescent="0.4">
      <c r="A441" s="207"/>
      <c r="B441" s="207"/>
      <c r="C441" s="207"/>
      <c r="D441" s="207"/>
      <c r="E441" s="207"/>
      <c r="F441" s="207"/>
    </row>
    <row r="442" spans="1:6" hidden="1" x14ac:dyDescent="0.4">
      <c r="A442" s="207"/>
      <c r="B442" s="207"/>
      <c r="C442" s="207"/>
      <c r="D442" s="207"/>
      <c r="E442" s="207"/>
      <c r="F442" s="207"/>
    </row>
    <row r="443" spans="1:6" hidden="1" x14ac:dyDescent="0.4">
      <c r="A443" s="207"/>
      <c r="B443" s="207"/>
      <c r="C443" s="207"/>
      <c r="D443" s="207"/>
      <c r="E443" s="207"/>
      <c r="F443" s="207"/>
    </row>
    <row r="444" spans="1:6" hidden="1" x14ac:dyDescent="0.4">
      <c r="A444" s="207"/>
      <c r="B444" s="207"/>
      <c r="C444" s="207"/>
      <c r="D444" s="207"/>
      <c r="E444" s="207"/>
      <c r="F444" s="207"/>
    </row>
    <row r="445" spans="1:6" hidden="1" x14ac:dyDescent="0.4">
      <c r="A445" s="207"/>
      <c r="B445" s="207"/>
      <c r="C445" s="207"/>
      <c r="D445" s="207"/>
      <c r="E445" s="207"/>
      <c r="F445" s="207"/>
    </row>
    <row r="446" spans="1:6" hidden="1" x14ac:dyDescent="0.4">
      <c r="A446" s="207"/>
      <c r="B446" s="207"/>
      <c r="C446" s="207"/>
      <c r="D446" s="207"/>
      <c r="E446" s="207"/>
      <c r="F446" s="207"/>
    </row>
    <row r="447" spans="1:6" hidden="1" x14ac:dyDescent="0.4">
      <c r="A447" s="207"/>
      <c r="B447" s="207"/>
      <c r="C447" s="207"/>
      <c r="D447" s="207"/>
      <c r="E447" s="207"/>
      <c r="F447" s="207"/>
    </row>
    <row r="448" spans="1:6" hidden="1" x14ac:dyDescent="0.4">
      <c r="A448" s="207"/>
      <c r="B448" s="207"/>
      <c r="C448" s="207"/>
      <c r="D448" s="207"/>
      <c r="E448" s="207"/>
      <c r="F448" s="207"/>
    </row>
    <row r="449" spans="1:6" hidden="1" x14ac:dyDescent="0.4">
      <c r="A449" s="207"/>
      <c r="B449" s="207"/>
      <c r="C449" s="207"/>
      <c r="D449" s="207"/>
      <c r="E449" s="207"/>
      <c r="F449" s="207"/>
    </row>
    <row r="450" spans="1:6" hidden="1" x14ac:dyDescent="0.4">
      <c r="A450" s="207"/>
      <c r="B450" s="207"/>
      <c r="C450" s="207"/>
      <c r="D450" s="207"/>
      <c r="E450" s="207"/>
      <c r="F450" s="207"/>
    </row>
    <row r="451" spans="1:6" hidden="1" x14ac:dyDescent="0.4">
      <c r="A451" s="207"/>
      <c r="B451" s="207"/>
      <c r="C451" s="207"/>
      <c r="D451" s="207"/>
      <c r="E451" s="207"/>
      <c r="F451" s="207"/>
    </row>
    <row r="452" spans="1:6" hidden="1" x14ac:dyDescent="0.4">
      <c r="A452" s="207"/>
      <c r="B452" s="207"/>
      <c r="C452" s="207"/>
      <c r="D452" s="207"/>
      <c r="E452" s="207"/>
      <c r="F452" s="207"/>
    </row>
    <row r="453" spans="1:6" hidden="1" x14ac:dyDescent="0.4">
      <c r="A453" s="207"/>
      <c r="B453" s="207"/>
      <c r="C453" s="207"/>
      <c r="D453" s="207"/>
      <c r="E453" s="207"/>
      <c r="F453" s="207"/>
    </row>
    <row r="454" spans="1:6" hidden="1" x14ac:dyDescent="0.4">
      <c r="A454" s="207"/>
      <c r="B454" s="207"/>
      <c r="C454" s="207"/>
      <c r="D454" s="207"/>
      <c r="E454" s="207"/>
      <c r="F454" s="207"/>
    </row>
    <row r="455" spans="1:6" hidden="1" x14ac:dyDescent="0.4">
      <c r="A455" s="207"/>
      <c r="B455" s="207"/>
      <c r="C455" s="207"/>
      <c r="D455" s="207"/>
      <c r="E455" s="207"/>
      <c r="F455" s="207"/>
    </row>
    <row r="456" spans="1:6" hidden="1" x14ac:dyDescent="0.4">
      <c r="A456" s="207"/>
      <c r="B456" s="207"/>
      <c r="C456" s="207"/>
      <c r="D456" s="207"/>
      <c r="E456" s="207"/>
      <c r="F456" s="207"/>
    </row>
    <row r="457" spans="1:6" hidden="1" x14ac:dyDescent="0.4">
      <c r="A457" s="207"/>
      <c r="B457" s="207"/>
      <c r="C457" s="207"/>
      <c r="D457" s="207"/>
      <c r="E457" s="207"/>
      <c r="F457" s="207"/>
    </row>
    <row r="458" spans="1:6" hidden="1" x14ac:dyDescent="0.4">
      <c r="A458" s="207"/>
      <c r="B458" s="207"/>
      <c r="C458" s="207"/>
      <c r="D458" s="207"/>
      <c r="E458" s="207"/>
      <c r="F458" s="207"/>
    </row>
    <row r="459" spans="1:6" hidden="1" x14ac:dyDescent="0.4">
      <c r="A459" s="207"/>
      <c r="B459" s="207"/>
      <c r="C459" s="207"/>
      <c r="D459" s="207"/>
      <c r="E459" s="207"/>
      <c r="F459" s="207"/>
    </row>
    <row r="460" spans="1:6" hidden="1" x14ac:dyDescent="0.4">
      <c r="A460" s="207"/>
      <c r="B460" s="207"/>
      <c r="C460" s="207"/>
      <c r="D460" s="207"/>
      <c r="E460" s="207"/>
      <c r="F460" s="207"/>
    </row>
    <row r="461" spans="1:6" hidden="1" x14ac:dyDescent="0.4">
      <c r="A461" s="207"/>
      <c r="B461" s="207"/>
      <c r="C461" s="207"/>
      <c r="D461" s="207"/>
      <c r="E461" s="207"/>
      <c r="F461" s="207"/>
    </row>
    <row r="462" spans="1:6" hidden="1" x14ac:dyDescent="0.4">
      <c r="A462" s="207"/>
      <c r="B462" s="207"/>
      <c r="C462" s="207"/>
      <c r="D462" s="207"/>
      <c r="E462" s="207"/>
      <c r="F462" s="207"/>
    </row>
    <row r="463" spans="1:6" hidden="1" x14ac:dyDescent="0.4">
      <c r="A463" s="207"/>
      <c r="B463" s="207"/>
      <c r="C463" s="207"/>
      <c r="D463" s="207"/>
      <c r="E463" s="207"/>
      <c r="F463" s="207"/>
    </row>
    <row r="464" spans="1:6" hidden="1" x14ac:dyDescent="0.4">
      <c r="A464" s="207"/>
      <c r="B464" s="207"/>
      <c r="C464" s="207"/>
      <c r="D464" s="207"/>
      <c r="E464" s="207"/>
      <c r="F464" s="207"/>
    </row>
    <row r="465" spans="1:6" hidden="1" x14ac:dyDescent="0.4">
      <c r="A465" s="207"/>
      <c r="B465" s="207"/>
      <c r="C465" s="207"/>
      <c r="D465" s="207"/>
      <c r="E465" s="207"/>
      <c r="F465" s="207"/>
    </row>
    <row r="466" spans="1:6" hidden="1" x14ac:dyDescent="0.4">
      <c r="A466" s="207"/>
      <c r="B466" s="207"/>
      <c r="C466" s="207"/>
      <c r="D466" s="207"/>
      <c r="E466" s="207"/>
      <c r="F466" s="207"/>
    </row>
    <row r="467" spans="1:6" hidden="1" x14ac:dyDescent="0.4">
      <c r="A467" s="207"/>
      <c r="B467" s="207"/>
      <c r="C467" s="207"/>
      <c r="D467" s="207"/>
      <c r="E467" s="207"/>
      <c r="F467" s="207"/>
    </row>
    <row r="468" spans="1:6" hidden="1" x14ac:dyDescent="0.4">
      <c r="A468" s="207"/>
      <c r="B468" s="207"/>
      <c r="C468" s="207"/>
      <c r="D468" s="207"/>
      <c r="E468" s="207"/>
      <c r="F468" s="207"/>
    </row>
    <row r="469" spans="1:6" hidden="1" x14ac:dyDescent="0.4">
      <c r="A469" s="207"/>
      <c r="B469" s="207"/>
      <c r="C469" s="207"/>
      <c r="D469" s="207"/>
      <c r="E469" s="207"/>
      <c r="F469" s="207"/>
    </row>
    <row r="470" spans="1:6" hidden="1" x14ac:dyDescent="0.4">
      <c r="A470" s="207"/>
      <c r="B470" s="207"/>
      <c r="C470" s="207"/>
      <c r="D470" s="207"/>
      <c r="E470" s="207"/>
      <c r="F470" s="207"/>
    </row>
    <row r="471" spans="1:6" hidden="1" x14ac:dyDescent="0.4">
      <c r="A471" s="207"/>
      <c r="B471" s="207"/>
      <c r="C471" s="207"/>
      <c r="D471" s="207"/>
      <c r="E471" s="207"/>
      <c r="F471" s="207"/>
    </row>
    <row r="472" spans="1:6" hidden="1" x14ac:dyDescent="0.4">
      <c r="A472" s="207"/>
      <c r="B472" s="207"/>
      <c r="C472" s="207"/>
      <c r="D472" s="207"/>
      <c r="E472" s="207"/>
      <c r="F472" s="207"/>
    </row>
    <row r="473" spans="1:6" hidden="1" x14ac:dyDescent="0.4">
      <c r="A473" s="207"/>
      <c r="B473" s="207"/>
      <c r="C473" s="207"/>
      <c r="D473" s="207"/>
      <c r="E473" s="207"/>
      <c r="F473" s="207"/>
    </row>
    <row r="474" spans="1:6" hidden="1" x14ac:dyDescent="0.4">
      <c r="A474" s="207"/>
      <c r="B474" s="207"/>
      <c r="C474" s="207"/>
      <c r="D474" s="207"/>
      <c r="E474" s="207"/>
      <c r="F474" s="207"/>
    </row>
    <row r="475" spans="1:6" hidden="1" x14ac:dyDescent="0.4">
      <c r="A475" s="207"/>
      <c r="B475" s="207"/>
      <c r="C475" s="207"/>
      <c r="D475" s="207"/>
      <c r="E475" s="207"/>
      <c r="F475" s="207"/>
    </row>
    <row r="476" spans="1:6" hidden="1" x14ac:dyDescent="0.4">
      <c r="A476" s="207"/>
      <c r="B476" s="207"/>
      <c r="C476" s="207"/>
      <c r="D476" s="207"/>
      <c r="E476" s="207"/>
      <c r="F476" s="207"/>
    </row>
    <row r="477" spans="1:6" hidden="1" x14ac:dyDescent="0.4">
      <c r="A477" s="207"/>
      <c r="B477" s="207"/>
      <c r="C477" s="207"/>
      <c r="D477" s="207"/>
      <c r="E477" s="207"/>
      <c r="F477" s="207"/>
    </row>
    <row r="478" spans="1:6" hidden="1" x14ac:dyDescent="0.4">
      <c r="A478" s="207"/>
      <c r="B478" s="207"/>
      <c r="C478" s="207"/>
      <c r="D478" s="207"/>
      <c r="E478" s="207"/>
      <c r="F478" s="207"/>
    </row>
    <row r="479" spans="1:6" hidden="1" x14ac:dyDescent="0.4">
      <c r="A479" s="207"/>
      <c r="B479" s="207"/>
      <c r="C479" s="207"/>
      <c r="D479" s="207"/>
      <c r="E479" s="207"/>
      <c r="F479" s="207"/>
    </row>
    <row r="480" spans="1:6" hidden="1" x14ac:dyDescent="0.4">
      <c r="A480" s="207"/>
      <c r="B480" s="207"/>
      <c r="C480" s="207"/>
      <c r="D480" s="207"/>
      <c r="E480" s="207"/>
      <c r="F480" s="207"/>
    </row>
    <row r="481" spans="1:6" hidden="1" x14ac:dyDescent="0.4">
      <c r="A481" s="207"/>
      <c r="B481" s="207"/>
      <c r="C481" s="207"/>
      <c r="D481" s="207"/>
      <c r="E481" s="207"/>
      <c r="F481" s="207"/>
    </row>
    <row r="482" spans="1:6" hidden="1" x14ac:dyDescent="0.4">
      <c r="A482" s="207"/>
      <c r="B482" s="207"/>
      <c r="C482" s="207"/>
      <c r="D482" s="207"/>
      <c r="E482" s="207"/>
      <c r="F482" s="207"/>
    </row>
    <row r="483" spans="1:6" hidden="1" x14ac:dyDescent="0.4">
      <c r="A483" s="207"/>
      <c r="B483" s="207"/>
      <c r="C483" s="207"/>
      <c r="D483" s="207"/>
      <c r="E483" s="207"/>
      <c r="F483" s="207"/>
    </row>
    <row r="484" spans="1:6" hidden="1" x14ac:dyDescent="0.4">
      <c r="A484" s="207"/>
      <c r="B484" s="207"/>
      <c r="C484" s="207"/>
      <c r="D484" s="207"/>
      <c r="E484" s="207"/>
      <c r="F484" s="207"/>
    </row>
    <row r="485" spans="1:6" hidden="1" x14ac:dyDescent="0.4">
      <c r="A485" s="207"/>
      <c r="B485" s="207"/>
      <c r="C485" s="207"/>
      <c r="D485" s="207"/>
      <c r="E485" s="207"/>
      <c r="F485" s="207"/>
    </row>
    <row r="486" spans="1:6" hidden="1" x14ac:dyDescent="0.4">
      <c r="A486" s="207"/>
      <c r="B486" s="207"/>
      <c r="C486" s="207"/>
      <c r="D486" s="207"/>
      <c r="E486" s="207"/>
      <c r="F486" s="207"/>
    </row>
    <row r="487" spans="1:6" hidden="1" x14ac:dyDescent="0.4">
      <c r="A487" s="207"/>
      <c r="B487" s="207"/>
      <c r="C487" s="207"/>
      <c r="D487" s="207"/>
      <c r="E487" s="207"/>
      <c r="F487" s="207"/>
    </row>
    <row r="488" spans="1:6" hidden="1" x14ac:dyDescent="0.4">
      <c r="A488" s="207"/>
      <c r="B488" s="207"/>
      <c r="C488" s="207"/>
      <c r="D488" s="207"/>
      <c r="E488" s="207"/>
      <c r="F488" s="207"/>
    </row>
    <row r="489" spans="1:6" hidden="1" x14ac:dyDescent="0.4">
      <c r="A489" s="207"/>
      <c r="B489" s="207"/>
      <c r="C489" s="207"/>
      <c r="D489" s="207"/>
      <c r="E489" s="207"/>
      <c r="F489" s="207"/>
    </row>
    <row r="490" spans="1:6" hidden="1" x14ac:dyDescent="0.4">
      <c r="A490" s="207"/>
      <c r="B490" s="207"/>
      <c r="C490" s="207"/>
      <c r="D490" s="207"/>
      <c r="E490" s="207"/>
      <c r="F490" s="207"/>
    </row>
    <row r="491" spans="1:6" hidden="1" x14ac:dyDescent="0.4">
      <c r="A491" s="207"/>
      <c r="B491" s="207"/>
      <c r="C491" s="207"/>
      <c r="D491" s="207"/>
      <c r="E491" s="207"/>
      <c r="F491" s="207"/>
    </row>
    <row r="492" spans="1:6" hidden="1" x14ac:dyDescent="0.4">
      <c r="A492" s="207"/>
      <c r="B492" s="207"/>
      <c r="C492" s="207"/>
      <c r="D492" s="207"/>
      <c r="E492" s="207"/>
      <c r="F492" s="207"/>
    </row>
    <row r="493" spans="1:6" hidden="1" x14ac:dyDescent="0.4">
      <c r="A493" s="207"/>
      <c r="B493" s="207"/>
      <c r="C493" s="207"/>
      <c r="D493" s="207"/>
      <c r="E493" s="207"/>
      <c r="F493" s="207"/>
    </row>
    <row r="494" spans="1:6" hidden="1" x14ac:dyDescent="0.4">
      <c r="A494" s="207"/>
      <c r="B494" s="207"/>
      <c r="C494" s="207"/>
      <c r="D494" s="207"/>
      <c r="E494" s="207"/>
      <c r="F494" s="207"/>
    </row>
    <row r="495" spans="1:6" hidden="1" x14ac:dyDescent="0.4">
      <c r="A495" s="207"/>
      <c r="B495" s="207"/>
      <c r="C495" s="207"/>
      <c r="D495" s="207"/>
      <c r="E495" s="207"/>
      <c r="F495" s="207"/>
    </row>
    <row r="496" spans="1:6" hidden="1" x14ac:dyDescent="0.4">
      <c r="A496" s="207"/>
      <c r="B496" s="207"/>
      <c r="C496" s="207"/>
      <c r="D496" s="207"/>
      <c r="E496" s="207"/>
      <c r="F496" s="207"/>
    </row>
    <row r="497" spans="1:6" hidden="1" x14ac:dyDescent="0.4">
      <c r="A497" s="207"/>
      <c r="B497" s="207"/>
      <c r="C497" s="207"/>
      <c r="D497" s="207"/>
      <c r="E497" s="207"/>
      <c r="F497" s="207"/>
    </row>
    <row r="498" spans="1:6" hidden="1" x14ac:dyDescent="0.4">
      <c r="A498" s="207"/>
      <c r="B498" s="207"/>
      <c r="C498" s="207"/>
      <c r="D498" s="207"/>
      <c r="E498" s="207"/>
      <c r="F498" s="207"/>
    </row>
    <row r="499" spans="1:6" hidden="1" x14ac:dyDescent="0.4">
      <c r="A499" s="207"/>
      <c r="B499" s="207"/>
      <c r="C499" s="207"/>
      <c r="D499" s="207"/>
      <c r="E499" s="207"/>
      <c r="F499" s="207"/>
    </row>
    <row r="500" spans="1:6" hidden="1" x14ac:dyDescent="0.4">
      <c r="A500" s="207"/>
      <c r="B500" s="207"/>
      <c r="C500" s="207"/>
      <c r="D500" s="207"/>
      <c r="E500" s="207"/>
      <c r="F500" s="207"/>
    </row>
    <row r="501" spans="1:6" hidden="1" x14ac:dyDescent="0.4">
      <c r="A501" s="207"/>
      <c r="B501" s="207"/>
      <c r="C501" s="207"/>
      <c r="D501" s="207"/>
      <c r="E501" s="207"/>
      <c r="F501" s="207"/>
    </row>
    <row r="502" spans="1:6" hidden="1" x14ac:dyDescent="0.4">
      <c r="A502" s="207"/>
      <c r="B502" s="207"/>
      <c r="C502" s="207"/>
      <c r="D502" s="207"/>
      <c r="E502" s="207"/>
      <c r="F502" s="207"/>
    </row>
    <row r="503" spans="1:6" hidden="1" x14ac:dyDescent="0.4">
      <c r="A503" s="207"/>
      <c r="B503" s="207"/>
      <c r="C503" s="207"/>
      <c r="D503" s="207"/>
      <c r="E503" s="207"/>
      <c r="F503" s="207"/>
    </row>
    <row r="504" spans="1:6" hidden="1" x14ac:dyDescent="0.4">
      <c r="A504" s="207"/>
      <c r="B504" s="207"/>
      <c r="C504" s="207"/>
      <c r="D504" s="207"/>
      <c r="E504" s="207"/>
      <c r="F504" s="207"/>
    </row>
    <row r="505" spans="1:6" hidden="1" x14ac:dyDescent="0.4">
      <c r="A505" s="207"/>
      <c r="B505" s="207"/>
      <c r="C505" s="207"/>
      <c r="D505" s="207"/>
      <c r="E505" s="207"/>
      <c r="F505" s="207"/>
    </row>
    <row r="506" spans="1:6" hidden="1" x14ac:dyDescent="0.4">
      <c r="A506" s="207"/>
      <c r="B506" s="207"/>
      <c r="C506" s="207"/>
      <c r="D506" s="207"/>
      <c r="E506" s="207"/>
      <c r="F506" s="207"/>
    </row>
    <row r="507" spans="1:6" hidden="1" x14ac:dyDescent="0.4">
      <c r="A507" s="207"/>
      <c r="B507" s="207"/>
      <c r="C507" s="207"/>
      <c r="D507" s="207"/>
      <c r="E507" s="207"/>
      <c r="F507" s="207"/>
    </row>
    <row r="508" spans="1:6" hidden="1" x14ac:dyDescent="0.4">
      <c r="A508" s="207"/>
      <c r="B508" s="207"/>
      <c r="C508" s="207"/>
      <c r="D508" s="207"/>
      <c r="E508" s="207"/>
      <c r="F508" s="207"/>
    </row>
    <row r="509" spans="1:6" hidden="1" x14ac:dyDescent="0.4">
      <c r="A509" s="207"/>
      <c r="B509" s="207"/>
      <c r="C509" s="207"/>
      <c r="D509" s="207"/>
      <c r="E509" s="207"/>
      <c r="F509" s="207"/>
    </row>
    <row r="510" spans="1:6" hidden="1" x14ac:dyDescent="0.4">
      <c r="A510" s="207"/>
      <c r="B510" s="207"/>
      <c r="C510" s="207"/>
      <c r="D510" s="207"/>
      <c r="E510" s="207"/>
      <c r="F510" s="207"/>
    </row>
    <row r="511" spans="1:6" hidden="1" x14ac:dyDescent="0.4">
      <c r="A511" s="207"/>
      <c r="B511" s="207"/>
      <c r="C511" s="207"/>
      <c r="D511" s="207"/>
      <c r="E511" s="207"/>
      <c r="F511" s="207"/>
    </row>
    <row r="512" spans="1:6" hidden="1" x14ac:dyDescent="0.4">
      <c r="A512" s="207"/>
      <c r="B512" s="207"/>
      <c r="C512" s="207"/>
      <c r="D512" s="207"/>
      <c r="E512" s="207"/>
      <c r="F512" s="207"/>
    </row>
    <row r="513" spans="1:6" hidden="1" x14ac:dyDescent="0.4">
      <c r="A513" s="207"/>
      <c r="B513" s="207"/>
      <c r="C513" s="207"/>
      <c r="D513" s="207"/>
      <c r="E513" s="207"/>
      <c r="F513" s="207"/>
    </row>
    <row r="514" spans="1:6" hidden="1" x14ac:dyDescent="0.4">
      <c r="A514" s="207"/>
      <c r="B514" s="207"/>
      <c r="C514" s="207"/>
      <c r="D514" s="207"/>
      <c r="E514" s="207"/>
      <c r="F514" s="207"/>
    </row>
    <row r="515" spans="1:6" hidden="1" x14ac:dyDescent="0.4">
      <c r="A515" s="207"/>
      <c r="B515" s="207"/>
      <c r="C515" s="207"/>
      <c r="D515" s="207"/>
      <c r="E515" s="207"/>
      <c r="F515" s="207"/>
    </row>
    <row r="516" spans="1:6" hidden="1" x14ac:dyDescent="0.4">
      <c r="A516" s="207"/>
      <c r="B516" s="207"/>
      <c r="C516" s="207"/>
      <c r="D516" s="207"/>
      <c r="E516" s="207"/>
      <c r="F516" s="207"/>
    </row>
    <row r="517" spans="1:6" hidden="1" x14ac:dyDescent="0.4">
      <c r="A517" s="207"/>
      <c r="B517" s="207"/>
      <c r="C517" s="207"/>
      <c r="D517" s="207"/>
      <c r="E517" s="207"/>
      <c r="F517" s="207"/>
    </row>
    <row r="518" spans="1:6" hidden="1" x14ac:dyDescent="0.4">
      <c r="A518" s="207"/>
      <c r="B518" s="207"/>
      <c r="C518" s="207"/>
      <c r="D518" s="207"/>
      <c r="E518" s="207"/>
      <c r="F518" s="207"/>
    </row>
    <row r="519" spans="1:6" hidden="1" x14ac:dyDescent="0.4">
      <c r="A519" s="207"/>
      <c r="B519" s="207"/>
      <c r="C519" s="207"/>
      <c r="D519" s="207"/>
      <c r="E519" s="207"/>
      <c r="F519" s="207"/>
    </row>
    <row r="520" spans="1:6" hidden="1" x14ac:dyDescent="0.4">
      <c r="A520" s="207"/>
      <c r="B520" s="207"/>
      <c r="C520" s="207"/>
      <c r="D520" s="207"/>
      <c r="E520" s="207"/>
      <c r="F520" s="207"/>
    </row>
    <row r="521" spans="1:6" hidden="1" x14ac:dyDescent="0.4">
      <c r="A521" s="207"/>
      <c r="B521" s="207"/>
      <c r="C521" s="207"/>
      <c r="D521" s="207"/>
      <c r="E521" s="207"/>
      <c r="F521" s="207"/>
    </row>
    <row r="522" spans="1:6" hidden="1" x14ac:dyDescent="0.4">
      <c r="A522" s="207"/>
      <c r="B522" s="207"/>
      <c r="C522" s="207"/>
      <c r="D522" s="207"/>
      <c r="E522" s="207"/>
      <c r="F522" s="207"/>
    </row>
    <row r="523" spans="1:6" hidden="1" x14ac:dyDescent="0.4">
      <c r="A523" s="207"/>
      <c r="B523" s="207"/>
      <c r="C523" s="207"/>
      <c r="D523" s="207"/>
      <c r="E523" s="207"/>
      <c r="F523" s="207"/>
    </row>
    <row r="524" spans="1:6" hidden="1" x14ac:dyDescent="0.4">
      <c r="A524" s="207"/>
      <c r="B524" s="207"/>
      <c r="C524" s="207"/>
      <c r="D524" s="207"/>
      <c r="E524" s="207"/>
      <c r="F524" s="207"/>
    </row>
    <row r="525" spans="1:6" hidden="1" x14ac:dyDescent="0.4">
      <c r="A525" s="207"/>
      <c r="B525" s="207"/>
      <c r="C525" s="207"/>
      <c r="D525" s="207"/>
      <c r="E525" s="207"/>
      <c r="F525" s="207"/>
    </row>
    <row r="526" spans="1:6" hidden="1" x14ac:dyDescent="0.4">
      <c r="A526" s="207"/>
      <c r="B526" s="207"/>
      <c r="C526" s="207"/>
      <c r="D526" s="207"/>
      <c r="E526" s="207"/>
      <c r="F526" s="207"/>
    </row>
    <row r="527" spans="1:6" hidden="1" x14ac:dyDescent="0.4">
      <c r="A527" s="207"/>
      <c r="B527" s="207"/>
      <c r="C527" s="207"/>
      <c r="D527" s="207"/>
      <c r="E527" s="207"/>
      <c r="F527" s="207"/>
    </row>
    <row r="528" spans="1:6" hidden="1" x14ac:dyDescent="0.4">
      <c r="A528" s="207"/>
      <c r="B528" s="207"/>
      <c r="C528" s="207"/>
      <c r="D528" s="207"/>
      <c r="E528" s="207"/>
      <c r="F528" s="207"/>
    </row>
    <row r="529" spans="1:6" hidden="1" x14ac:dyDescent="0.4">
      <c r="A529" s="207"/>
      <c r="B529" s="207"/>
      <c r="C529" s="207"/>
      <c r="D529" s="207"/>
      <c r="E529" s="207"/>
      <c r="F529" s="207"/>
    </row>
    <row r="530" spans="1:6" hidden="1" x14ac:dyDescent="0.4">
      <c r="A530" s="207"/>
      <c r="B530" s="207"/>
      <c r="C530" s="207"/>
      <c r="D530" s="207"/>
      <c r="E530" s="207"/>
      <c r="F530" s="207"/>
    </row>
    <row r="531" spans="1:6" hidden="1" x14ac:dyDescent="0.4">
      <c r="A531" s="207"/>
      <c r="B531" s="207"/>
      <c r="C531" s="207"/>
      <c r="D531" s="207"/>
      <c r="E531" s="207"/>
      <c r="F531" s="207"/>
    </row>
    <row r="532" spans="1:6" hidden="1" x14ac:dyDescent="0.4">
      <c r="A532" s="207"/>
      <c r="B532" s="207"/>
      <c r="C532" s="207"/>
      <c r="D532" s="207"/>
      <c r="E532" s="207"/>
      <c r="F532" s="207"/>
    </row>
    <row r="533" spans="1:6" hidden="1" x14ac:dyDescent="0.4">
      <c r="A533" s="207"/>
      <c r="B533" s="207"/>
      <c r="C533" s="207"/>
      <c r="D533" s="207"/>
      <c r="E533" s="207"/>
      <c r="F533" s="207"/>
    </row>
    <row r="534" spans="1:6" hidden="1" x14ac:dyDescent="0.4">
      <c r="A534" s="207"/>
      <c r="B534" s="207"/>
      <c r="C534" s="207"/>
      <c r="D534" s="207"/>
      <c r="E534" s="207"/>
      <c r="F534" s="207"/>
    </row>
    <row r="535" spans="1:6" hidden="1" x14ac:dyDescent="0.4">
      <c r="A535" s="207"/>
      <c r="B535" s="207"/>
      <c r="C535" s="207"/>
      <c r="D535" s="207"/>
      <c r="E535" s="207"/>
      <c r="F535" s="207"/>
    </row>
    <row r="536" spans="1:6" hidden="1" x14ac:dyDescent="0.4">
      <c r="A536" s="207"/>
      <c r="B536" s="207"/>
      <c r="C536" s="207"/>
      <c r="D536" s="207"/>
      <c r="E536" s="207"/>
      <c r="F536" s="207"/>
    </row>
    <row r="537" spans="1:6" hidden="1" x14ac:dyDescent="0.4">
      <c r="A537" s="207"/>
      <c r="B537" s="207"/>
      <c r="C537" s="207"/>
      <c r="D537" s="207"/>
      <c r="E537" s="207"/>
      <c r="F537" s="207"/>
    </row>
    <row r="538" spans="1:6" hidden="1" x14ac:dyDescent="0.4">
      <c r="A538" s="207"/>
      <c r="B538" s="207"/>
      <c r="C538" s="207"/>
      <c r="D538" s="207"/>
      <c r="E538" s="207"/>
      <c r="F538" s="207"/>
    </row>
    <row r="539" spans="1:6" hidden="1" x14ac:dyDescent="0.4">
      <c r="A539" s="207"/>
      <c r="B539" s="207"/>
      <c r="C539" s="207"/>
      <c r="D539" s="207"/>
      <c r="E539" s="207"/>
      <c r="F539" s="207"/>
    </row>
    <row r="540" spans="1:6" hidden="1" x14ac:dyDescent="0.4">
      <c r="A540" s="207"/>
      <c r="B540" s="207"/>
      <c r="C540" s="207"/>
      <c r="D540" s="207"/>
      <c r="E540" s="207"/>
      <c r="F540" s="207"/>
    </row>
    <row r="541" spans="1:6" hidden="1" x14ac:dyDescent="0.4">
      <c r="A541" s="207"/>
      <c r="B541" s="207"/>
      <c r="C541" s="207"/>
      <c r="D541" s="207"/>
      <c r="E541" s="207"/>
      <c r="F541" s="207"/>
    </row>
    <row r="542" spans="1:6" hidden="1" x14ac:dyDescent="0.4">
      <c r="A542" s="207"/>
      <c r="B542" s="207"/>
      <c r="C542" s="207"/>
      <c r="D542" s="207"/>
      <c r="E542" s="207"/>
      <c r="F542" s="207"/>
    </row>
    <row r="543" spans="1:6" hidden="1" x14ac:dyDescent="0.4">
      <c r="A543" s="207"/>
      <c r="B543" s="207"/>
      <c r="C543" s="207"/>
      <c r="D543" s="207"/>
      <c r="E543" s="207"/>
      <c r="F543" s="207"/>
    </row>
    <row r="544" spans="1:6" hidden="1" x14ac:dyDescent="0.4">
      <c r="A544" s="207"/>
      <c r="B544" s="207"/>
      <c r="C544" s="207"/>
      <c r="D544" s="207"/>
      <c r="E544" s="207"/>
      <c r="F544" s="207"/>
    </row>
    <row r="545" spans="1:6" hidden="1" x14ac:dyDescent="0.4">
      <c r="A545" s="207"/>
      <c r="B545" s="207"/>
      <c r="C545" s="207"/>
      <c r="D545" s="207"/>
      <c r="E545" s="207"/>
      <c r="F545" s="207"/>
    </row>
    <row r="546" spans="1:6" hidden="1" x14ac:dyDescent="0.4">
      <c r="A546" s="207"/>
      <c r="B546" s="207"/>
      <c r="C546" s="207"/>
      <c r="D546" s="207"/>
      <c r="E546" s="207"/>
      <c r="F546" s="207"/>
    </row>
    <row r="547" spans="1:6" hidden="1" x14ac:dyDescent="0.4">
      <c r="A547" s="207"/>
      <c r="B547" s="207"/>
      <c r="C547" s="207"/>
      <c r="D547" s="207"/>
      <c r="E547" s="207"/>
      <c r="F547" s="207"/>
    </row>
    <row r="548" spans="1:6" hidden="1" x14ac:dyDescent="0.4">
      <c r="A548" s="207"/>
      <c r="B548" s="207"/>
      <c r="C548" s="207"/>
      <c r="D548" s="207"/>
      <c r="E548" s="207"/>
      <c r="F548" s="207"/>
    </row>
    <row r="549" spans="1:6" hidden="1" x14ac:dyDescent="0.4">
      <c r="A549" s="207"/>
      <c r="B549" s="207"/>
      <c r="C549" s="207"/>
      <c r="D549" s="207"/>
      <c r="E549" s="207"/>
      <c r="F549" s="207"/>
    </row>
    <row r="550" spans="1:6" hidden="1" x14ac:dyDescent="0.4">
      <c r="A550" s="207"/>
      <c r="B550" s="207"/>
      <c r="C550" s="207"/>
      <c r="D550" s="207"/>
      <c r="E550" s="207"/>
      <c r="F550" s="207"/>
    </row>
    <row r="551" spans="1:6" hidden="1" x14ac:dyDescent="0.4">
      <c r="A551" s="207"/>
      <c r="B551" s="207"/>
      <c r="C551" s="207"/>
      <c r="D551" s="207"/>
      <c r="E551" s="207"/>
      <c r="F551" s="207"/>
    </row>
    <row r="552" spans="1:6" hidden="1" x14ac:dyDescent="0.4">
      <c r="A552" s="207"/>
      <c r="B552" s="207"/>
      <c r="C552" s="207"/>
      <c r="D552" s="207"/>
      <c r="E552" s="207"/>
      <c r="F552" s="207"/>
    </row>
    <row r="553" spans="1:6" hidden="1" x14ac:dyDescent="0.4">
      <c r="A553" s="207"/>
      <c r="B553" s="207"/>
      <c r="C553" s="207"/>
      <c r="D553" s="207"/>
      <c r="E553" s="207"/>
      <c r="F553" s="207"/>
    </row>
    <row r="554" spans="1:6" hidden="1" x14ac:dyDescent="0.4">
      <c r="A554" s="207"/>
      <c r="B554" s="207"/>
      <c r="C554" s="207"/>
      <c r="D554" s="207"/>
      <c r="E554" s="207"/>
      <c r="F554" s="207"/>
    </row>
    <row r="555" spans="1:6" hidden="1" x14ac:dyDescent="0.4">
      <c r="A555" s="207"/>
      <c r="B555" s="207"/>
      <c r="C555" s="207"/>
      <c r="D555" s="207"/>
      <c r="E555" s="207"/>
      <c r="F555" s="207"/>
    </row>
    <row r="556" spans="1:6" hidden="1" x14ac:dyDescent="0.4">
      <c r="A556" s="207"/>
      <c r="B556" s="207"/>
      <c r="C556" s="207"/>
      <c r="D556" s="207"/>
      <c r="E556" s="207"/>
      <c r="F556" s="207"/>
    </row>
    <row r="557" spans="1:6" hidden="1" x14ac:dyDescent="0.4">
      <c r="A557" s="207"/>
      <c r="B557" s="207"/>
      <c r="C557" s="207"/>
      <c r="D557" s="207"/>
      <c r="E557" s="207"/>
      <c r="F557" s="207"/>
    </row>
    <row r="558" spans="1:6" hidden="1" x14ac:dyDescent="0.4">
      <c r="A558" s="207"/>
      <c r="B558" s="207"/>
      <c r="C558" s="207"/>
      <c r="D558" s="207"/>
      <c r="E558" s="207"/>
      <c r="F558" s="207"/>
    </row>
    <row r="559" spans="1:6" hidden="1" x14ac:dyDescent="0.4">
      <c r="A559" s="207"/>
      <c r="B559" s="207"/>
      <c r="C559" s="207"/>
      <c r="D559" s="207"/>
      <c r="E559" s="207"/>
      <c r="F559" s="207"/>
    </row>
    <row r="560" spans="1:6" hidden="1" x14ac:dyDescent="0.4">
      <c r="A560" s="207"/>
      <c r="B560" s="207"/>
      <c r="C560" s="207"/>
      <c r="D560" s="207"/>
      <c r="E560" s="207"/>
      <c r="F560" s="207"/>
    </row>
    <row r="561" spans="1:6" hidden="1" x14ac:dyDescent="0.4">
      <c r="A561" s="207"/>
      <c r="B561" s="207"/>
      <c r="C561" s="207"/>
      <c r="D561" s="207"/>
      <c r="E561" s="207"/>
      <c r="F561" s="207"/>
    </row>
    <row r="562" spans="1:6" hidden="1" x14ac:dyDescent="0.4">
      <c r="A562" s="207"/>
      <c r="B562" s="207"/>
      <c r="C562" s="207"/>
      <c r="D562" s="207"/>
      <c r="E562" s="207"/>
      <c r="F562" s="207"/>
    </row>
    <row r="563" spans="1:6" hidden="1" x14ac:dyDescent="0.4">
      <c r="A563" s="207"/>
      <c r="B563" s="207"/>
      <c r="C563" s="207"/>
      <c r="D563" s="207"/>
      <c r="E563" s="207"/>
      <c r="F563" s="207"/>
    </row>
    <row r="564" spans="1:6" hidden="1" x14ac:dyDescent="0.4">
      <c r="A564" s="207"/>
      <c r="B564" s="207"/>
      <c r="C564" s="207"/>
      <c r="D564" s="207"/>
      <c r="E564" s="207"/>
      <c r="F564" s="207"/>
    </row>
    <row r="565" spans="1:6" hidden="1" x14ac:dyDescent="0.4">
      <c r="A565" s="207"/>
      <c r="B565" s="207"/>
      <c r="C565" s="207"/>
      <c r="D565" s="207"/>
      <c r="E565" s="207"/>
      <c r="F565" s="207"/>
    </row>
    <row r="566" spans="1:6" hidden="1" x14ac:dyDescent="0.4">
      <c r="A566" s="207"/>
      <c r="B566" s="207"/>
      <c r="C566" s="207"/>
      <c r="D566" s="207"/>
      <c r="E566" s="207"/>
      <c r="F566" s="207"/>
    </row>
    <row r="567" spans="1:6" hidden="1" x14ac:dyDescent="0.4">
      <c r="A567" s="207"/>
      <c r="B567" s="207"/>
      <c r="C567" s="207"/>
      <c r="D567" s="207"/>
      <c r="E567" s="207"/>
      <c r="F567" s="207"/>
    </row>
    <row r="568" spans="1:6" hidden="1" x14ac:dyDescent="0.4">
      <c r="A568" s="207"/>
      <c r="B568" s="207"/>
      <c r="C568" s="207"/>
      <c r="D568" s="207"/>
      <c r="E568" s="207"/>
      <c r="F568" s="207"/>
    </row>
    <row r="569" spans="1:6" hidden="1" x14ac:dyDescent="0.4">
      <c r="A569" s="207"/>
      <c r="B569" s="207"/>
      <c r="C569" s="207"/>
      <c r="D569" s="207"/>
      <c r="E569" s="207"/>
      <c r="F569" s="207"/>
    </row>
    <row r="570" spans="1:6" hidden="1" x14ac:dyDescent="0.4">
      <c r="A570" s="207"/>
      <c r="B570" s="207"/>
      <c r="C570" s="207"/>
      <c r="D570" s="207"/>
      <c r="E570" s="207"/>
      <c r="F570" s="207"/>
    </row>
    <row r="571" spans="1:6" hidden="1" x14ac:dyDescent="0.4">
      <c r="A571" s="207"/>
      <c r="B571" s="207"/>
      <c r="C571" s="207"/>
      <c r="D571" s="207"/>
      <c r="E571" s="207"/>
      <c r="F571" s="207"/>
    </row>
    <row r="572" spans="1:6" hidden="1" x14ac:dyDescent="0.4">
      <c r="A572" s="207"/>
      <c r="B572" s="207"/>
      <c r="C572" s="207"/>
      <c r="D572" s="207"/>
      <c r="E572" s="207"/>
      <c r="F572" s="207"/>
    </row>
    <row r="573" spans="1:6" hidden="1" x14ac:dyDescent="0.4">
      <c r="A573" s="207"/>
      <c r="B573" s="207"/>
      <c r="C573" s="207"/>
      <c r="D573" s="207"/>
      <c r="E573" s="207"/>
      <c r="F573" s="207"/>
    </row>
    <row r="574" spans="1:6" hidden="1" x14ac:dyDescent="0.4">
      <c r="A574" s="207"/>
      <c r="B574" s="207"/>
      <c r="C574" s="207"/>
      <c r="D574" s="207"/>
      <c r="E574" s="207"/>
      <c r="F574" s="207"/>
    </row>
    <row r="575" spans="1:6" hidden="1" x14ac:dyDescent="0.4">
      <c r="A575" s="207"/>
      <c r="B575" s="207"/>
      <c r="C575" s="207"/>
      <c r="D575" s="207"/>
      <c r="E575" s="207"/>
      <c r="F575" s="207"/>
    </row>
    <row r="576" spans="1:6" hidden="1" x14ac:dyDescent="0.4">
      <c r="A576" s="207"/>
      <c r="B576" s="207"/>
      <c r="C576" s="207"/>
      <c r="D576" s="207"/>
      <c r="E576" s="207"/>
      <c r="F576" s="207"/>
    </row>
    <row r="577" spans="1:6" hidden="1" x14ac:dyDescent="0.4">
      <c r="A577" s="207"/>
      <c r="B577" s="207"/>
      <c r="C577" s="207"/>
      <c r="D577" s="207"/>
      <c r="E577" s="207"/>
      <c r="F577" s="207"/>
    </row>
    <row r="578" spans="1:6" hidden="1" x14ac:dyDescent="0.4">
      <c r="A578" s="207"/>
      <c r="B578" s="207"/>
      <c r="C578" s="207"/>
      <c r="D578" s="207"/>
      <c r="E578" s="207"/>
      <c r="F578" s="207"/>
    </row>
    <row r="579" spans="1:6" hidden="1" x14ac:dyDescent="0.4">
      <c r="A579" s="207"/>
      <c r="B579" s="207"/>
      <c r="C579" s="207"/>
      <c r="D579" s="207"/>
      <c r="E579" s="207"/>
      <c r="F579" s="207"/>
    </row>
    <row r="580" spans="1:6" hidden="1" x14ac:dyDescent="0.4">
      <c r="A580" s="207"/>
      <c r="B580" s="207"/>
      <c r="C580" s="207"/>
      <c r="D580" s="207"/>
      <c r="E580" s="207"/>
      <c r="F580" s="207"/>
    </row>
    <row r="581" spans="1:6" hidden="1" x14ac:dyDescent="0.4">
      <c r="A581" s="207"/>
      <c r="B581" s="207"/>
      <c r="C581" s="207"/>
      <c r="D581" s="207"/>
      <c r="E581" s="207"/>
      <c r="F581" s="207"/>
    </row>
    <row r="582" spans="1:6" hidden="1" x14ac:dyDescent="0.4">
      <c r="A582" s="207"/>
      <c r="B582" s="207"/>
      <c r="C582" s="207"/>
      <c r="D582" s="207"/>
      <c r="E582" s="207"/>
      <c r="F582" s="207"/>
    </row>
    <row r="583" spans="1:6" hidden="1" x14ac:dyDescent="0.4">
      <c r="A583" s="207"/>
      <c r="B583" s="207"/>
      <c r="C583" s="207"/>
      <c r="D583" s="207"/>
      <c r="E583" s="207"/>
      <c r="F583" s="207"/>
    </row>
    <row r="584" spans="1:6" hidden="1" x14ac:dyDescent="0.4">
      <c r="A584" s="207"/>
      <c r="B584" s="207"/>
      <c r="C584" s="207"/>
      <c r="D584" s="207"/>
      <c r="E584" s="207"/>
      <c r="F584" s="207"/>
    </row>
    <row r="585" spans="1:6" hidden="1" x14ac:dyDescent="0.4">
      <c r="A585" s="207"/>
      <c r="B585" s="207"/>
      <c r="C585" s="207"/>
      <c r="D585" s="207"/>
      <c r="E585" s="207"/>
      <c r="F585" s="207"/>
    </row>
    <row r="586" spans="1:6" hidden="1" x14ac:dyDescent="0.4">
      <c r="A586" s="207"/>
      <c r="B586" s="207"/>
      <c r="C586" s="207"/>
      <c r="D586" s="207"/>
      <c r="E586" s="207"/>
      <c r="F586" s="207"/>
    </row>
    <row r="587" spans="1:6" hidden="1" x14ac:dyDescent="0.4">
      <c r="A587" s="207"/>
      <c r="B587" s="207"/>
      <c r="C587" s="207"/>
      <c r="D587" s="207"/>
      <c r="E587" s="207"/>
      <c r="F587" s="207"/>
    </row>
    <row r="588" spans="1:6" hidden="1" x14ac:dyDescent="0.4">
      <c r="A588" s="207"/>
      <c r="B588" s="207"/>
      <c r="C588" s="207"/>
      <c r="D588" s="207"/>
      <c r="E588" s="207"/>
      <c r="F588" s="207"/>
    </row>
    <row r="589" spans="1:6" hidden="1" x14ac:dyDescent="0.4">
      <c r="A589" s="207"/>
      <c r="B589" s="207"/>
      <c r="C589" s="207"/>
      <c r="D589" s="207"/>
      <c r="E589" s="207"/>
      <c r="F589" s="207"/>
    </row>
    <row r="590" spans="1:6" hidden="1" x14ac:dyDescent="0.4">
      <c r="A590" s="207"/>
      <c r="B590" s="207"/>
      <c r="C590" s="207"/>
      <c r="D590" s="207"/>
      <c r="E590" s="207"/>
      <c r="F590" s="207"/>
    </row>
    <row r="591" spans="1:6" hidden="1" x14ac:dyDescent="0.4">
      <c r="A591" s="207"/>
      <c r="B591" s="207"/>
      <c r="C591" s="207"/>
      <c r="D591" s="207"/>
      <c r="E591" s="207"/>
      <c r="F591" s="207"/>
    </row>
    <row r="592" spans="1:6" hidden="1" x14ac:dyDescent="0.4">
      <c r="A592" s="207"/>
      <c r="B592" s="207"/>
      <c r="C592" s="207"/>
      <c r="D592" s="207"/>
      <c r="E592" s="207"/>
      <c r="F592" s="207"/>
    </row>
    <row r="593" spans="1:6" hidden="1" x14ac:dyDescent="0.4">
      <c r="A593" s="207"/>
      <c r="B593" s="207"/>
      <c r="C593" s="207"/>
      <c r="D593" s="207"/>
      <c r="E593" s="207"/>
      <c r="F593" s="207"/>
    </row>
    <row r="594" spans="1:6" hidden="1" x14ac:dyDescent="0.4">
      <c r="A594" s="207"/>
      <c r="B594" s="207"/>
      <c r="C594" s="207"/>
      <c r="D594" s="207"/>
      <c r="E594" s="207"/>
      <c r="F594" s="207"/>
    </row>
    <row r="595" spans="1:6" hidden="1" x14ac:dyDescent="0.4">
      <c r="A595" s="207"/>
      <c r="B595" s="207"/>
      <c r="C595" s="207"/>
      <c r="D595" s="207"/>
      <c r="E595" s="207"/>
      <c r="F595" s="207"/>
    </row>
    <row r="596" spans="1:6" hidden="1" x14ac:dyDescent="0.4">
      <c r="A596" s="207"/>
      <c r="B596" s="207"/>
      <c r="C596" s="207"/>
      <c r="D596" s="207"/>
      <c r="E596" s="207"/>
      <c r="F596" s="207"/>
    </row>
    <row r="597" spans="1:6" hidden="1" x14ac:dyDescent="0.4">
      <c r="A597" s="207"/>
      <c r="B597" s="207"/>
      <c r="C597" s="207"/>
      <c r="D597" s="207"/>
      <c r="E597" s="207"/>
      <c r="F597" s="207"/>
    </row>
    <row r="598" spans="1:6" hidden="1" x14ac:dyDescent="0.4">
      <c r="A598" s="207"/>
      <c r="B598" s="207"/>
      <c r="C598" s="207"/>
      <c r="D598" s="207"/>
      <c r="E598" s="207"/>
      <c r="F598" s="207"/>
    </row>
    <row r="599" spans="1:6" hidden="1" x14ac:dyDescent="0.4">
      <c r="A599" s="207"/>
      <c r="B599" s="207"/>
      <c r="C599" s="207"/>
      <c r="D599" s="207"/>
      <c r="E599" s="207"/>
      <c r="F599" s="207"/>
    </row>
    <row r="600" spans="1:6" hidden="1" x14ac:dyDescent="0.4">
      <c r="A600" s="207"/>
      <c r="B600" s="207"/>
      <c r="C600" s="207"/>
      <c r="D600" s="207"/>
      <c r="E600" s="207"/>
      <c r="F600" s="207"/>
    </row>
    <row r="601" spans="1:6" hidden="1" x14ac:dyDescent="0.4">
      <c r="A601" s="207"/>
      <c r="B601" s="207"/>
      <c r="C601" s="207"/>
      <c r="D601" s="207"/>
      <c r="E601" s="207"/>
      <c r="F601" s="207"/>
    </row>
    <row r="602" spans="1:6" hidden="1" x14ac:dyDescent="0.4">
      <c r="A602" s="207"/>
      <c r="B602" s="207"/>
      <c r="C602" s="207"/>
      <c r="D602" s="207"/>
      <c r="E602" s="207"/>
      <c r="F602" s="207"/>
    </row>
    <row r="603" spans="1:6" hidden="1" x14ac:dyDescent="0.4">
      <c r="A603" s="207"/>
      <c r="B603" s="207"/>
      <c r="C603" s="207"/>
      <c r="D603" s="207"/>
      <c r="E603" s="207"/>
      <c r="F603" s="207"/>
    </row>
    <row r="604" spans="1:6" hidden="1" x14ac:dyDescent="0.4">
      <c r="A604" s="207"/>
      <c r="B604" s="207"/>
      <c r="C604" s="207"/>
      <c r="D604" s="207"/>
      <c r="E604" s="207"/>
      <c r="F604" s="207"/>
    </row>
    <row r="605" spans="1:6" hidden="1" x14ac:dyDescent="0.4">
      <c r="A605" s="207"/>
      <c r="B605" s="207"/>
      <c r="C605" s="207"/>
      <c r="D605" s="207"/>
      <c r="E605" s="207"/>
      <c r="F605" s="207"/>
    </row>
    <row r="606" spans="1:6" hidden="1" x14ac:dyDescent="0.4">
      <c r="A606" s="207"/>
      <c r="B606" s="207"/>
      <c r="C606" s="207"/>
      <c r="D606" s="207"/>
      <c r="E606" s="207"/>
      <c r="F606" s="207"/>
    </row>
    <row r="607" spans="1:6" hidden="1" x14ac:dyDescent="0.4">
      <c r="A607" s="207"/>
      <c r="B607" s="207"/>
      <c r="C607" s="207"/>
      <c r="D607" s="207"/>
      <c r="E607" s="207"/>
      <c r="F607" s="207"/>
    </row>
    <row r="608" spans="1:6" hidden="1" x14ac:dyDescent="0.4">
      <c r="A608" s="207"/>
      <c r="B608" s="207"/>
      <c r="C608" s="207"/>
      <c r="D608" s="207"/>
      <c r="E608" s="207"/>
      <c r="F608" s="207"/>
    </row>
    <row r="609" spans="1:6" hidden="1" x14ac:dyDescent="0.4">
      <c r="A609" s="207"/>
      <c r="B609" s="207"/>
      <c r="C609" s="207"/>
      <c r="D609" s="207"/>
      <c r="E609" s="207"/>
      <c r="F609" s="207"/>
    </row>
    <row r="610" spans="1:6" hidden="1" x14ac:dyDescent="0.4">
      <c r="A610" s="207"/>
      <c r="B610" s="207"/>
      <c r="C610" s="207"/>
      <c r="D610" s="207"/>
      <c r="E610" s="207"/>
      <c r="F610" s="207"/>
    </row>
    <row r="611" spans="1:6" hidden="1" x14ac:dyDescent="0.4">
      <c r="A611" s="207"/>
      <c r="B611" s="207"/>
      <c r="C611" s="207"/>
      <c r="D611" s="207"/>
      <c r="E611" s="207"/>
      <c r="F611" s="207"/>
    </row>
    <row r="612" spans="1:6" hidden="1" x14ac:dyDescent="0.4">
      <c r="A612" s="207"/>
      <c r="B612" s="207"/>
      <c r="C612" s="207"/>
      <c r="D612" s="207"/>
      <c r="E612" s="207"/>
      <c r="F612" s="207"/>
    </row>
    <row r="613" spans="1:6" hidden="1" x14ac:dyDescent="0.4">
      <c r="A613" s="207"/>
      <c r="B613" s="207"/>
      <c r="C613" s="207"/>
      <c r="D613" s="207"/>
      <c r="E613" s="207"/>
      <c r="F613" s="207"/>
    </row>
    <row r="614" spans="1:6" hidden="1" x14ac:dyDescent="0.4">
      <c r="A614" s="207"/>
      <c r="B614" s="207"/>
      <c r="C614" s="207"/>
      <c r="D614" s="207"/>
      <c r="E614" s="207"/>
      <c r="F614" s="207"/>
    </row>
    <row r="615" spans="1:6" hidden="1" x14ac:dyDescent="0.4">
      <c r="A615" s="207"/>
      <c r="B615" s="207"/>
      <c r="C615" s="207"/>
      <c r="D615" s="207"/>
      <c r="E615" s="207"/>
      <c r="F615" s="207"/>
    </row>
    <row r="616" spans="1:6" hidden="1" x14ac:dyDescent="0.4">
      <c r="A616" s="207"/>
      <c r="B616" s="207"/>
      <c r="C616" s="207"/>
      <c r="D616" s="207"/>
      <c r="E616" s="207"/>
      <c r="F616" s="207"/>
    </row>
    <row r="617" spans="1:6" hidden="1" x14ac:dyDescent="0.4">
      <c r="A617" s="207"/>
      <c r="B617" s="207"/>
      <c r="C617" s="207"/>
      <c r="D617" s="207"/>
      <c r="E617" s="207"/>
      <c r="F617" s="207"/>
    </row>
    <row r="618" spans="1:6" hidden="1" x14ac:dyDescent="0.4">
      <c r="A618" s="207"/>
      <c r="B618" s="207"/>
      <c r="C618" s="207"/>
      <c r="D618" s="207"/>
      <c r="E618" s="207"/>
      <c r="F618" s="207"/>
    </row>
    <row r="619" spans="1:6" hidden="1" x14ac:dyDescent="0.4">
      <c r="A619" s="207"/>
      <c r="B619" s="207"/>
      <c r="C619" s="207"/>
      <c r="D619" s="207"/>
      <c r="E619" s="207"/>
      <c r="F619" s="207"/>
    </row>
    <row r="620" spans="1:6" hidden="1" x14ac:dyDescent="0.4">
      <c r="A620" s="207"/>
      <c r="B620" s="207"/>
      <c r="C620" s="207"/>
      <c r="D620" s="207"/>
      <c r="E620" s="207"/>
      <c r="F620" s="207"/>
    </row>
    <row r="621" spans="1:6" hidden="1" x14ac:dyDescent="0.4">
      <c r="A621" s="207"/>
      <c r="B621" s="207"/>
      <c r="C621" s="207"/>
      <c r="D621" s="207"/>
      <c r="E621" s="207"/>
      <c r="F621" s="207"/>
    </row>
    <row r="622" spans="1:6" hidden="1" x14ac:dyDescent="0.4">
      <c r="A622" s="207"/>
      <c r="B622" s="207"/>
      <c r="C622" s="207"/>
      <c r="D622" s="207"/>
      <c r="E622" s="207"/>
      <c r="F622" s="207"/>
    </row>
    <row r="623" spans="1:6" hidden="1" x14ac:dyDescent="0.4">
      <c r="A623" s="207"/>
      <c r="B623" s="207"/>
      <c r="C623" s="207"/>
      <c r="D623" s="207"/>
      <c r="E623" s="207"/>
      <c r="F623" s="207"/>
    </row>
    <row r="624" spans="1:6" hidden="1" x14ac:dyDescent="0.4">
      <c r="A624" s="207"/>
      <c r="B624" s="207"/>
      <c r="C624" s="207"/>
      <c r="D624" s="207"/>
      <c r="E624" s="207"/>
      <c r="F624" s="207"/>
    </row>
    <row r="625" spans="1:6" hidden="1" x14ac:dyDescent="0.4">
      <c r="A625" s="207"/>
      <c r="B625" s="207"/>
      <c r="C625" s="207"/>
      <c r="D625" s="207"/>
      <c r="E625" s="207"/>
      <c r="F625" s="207"/>
    </row>
    <row r="626" spans="1:6" hidden="1" x14ac:dyDescent="0.4">
      <c r="A626" s="207"/>
      <c r="B626" s="207"/>
      <c r="C626" s="207"/>
      <c r="D626" s="207"/>
      <c r="E626" s="207"/>
      <c r="F626" s="207"/>
    </row>
    <row r="627" spans="1:6" hidden="1" x14ac:dyDescent="0.4">
      <c r="A627" s="207"/>
      <c r="B627" s="207"/>
      <c r="C627" s="207"/>
      <c r="D627" s="207"/>
      <c r="E627" s="207"/>
      <c r="F627" s="207"/>
    </row>
    <row r="628" spans="1:6" hidden="1" x14ac:dyDescent="0.4">
      <c r="A628" s="207"/>
      <c r="B628" s="207"/>
      <c r="C628" s="207"/>
      <c r="D628" s="207"/>
      <c r="E628" s="207"/>
      <c r="F628" s="207"/>
    </row>
    <row r="629" spans="1:6" hidden="1" x14ac:dyDescent="0.4">
      <c r="A629" s="207"/>
      <c r="B629" s="207"/>
      <c r="C629" s="207"/>
      <c r="D629" s="207"/>
      <c r="E629" s="207"/>
      <c r="F629" s="207"/>
    </row>
    <row r="630" spans="1:6" hidden="1" x14ac:dyDescent="0.4">
      <c r="A630" s="207"/>
      <c r="B630" s="207"/>
      <c r="C630" s="207"/>
      <c r="D630" s="207"/>
      <c r="E630" s="207"/>
      <c r="F630" s="207"/>
    </row>
    <row r="631" spans="1:6" hidden="1" x14ac:dyDescent="0.4">
      <c r="A631" s="207"/>
      <c r="B631" s="207"/>
      <c r="C631" s="207"/>
      <c r="D631" s="207"/>
      <c r="E631" s="207"/>
      <c r="F631" s="207"/>
    </row>
    <row r="632" spans="1:6" hidden="1" x14ac:dyDescent="0.4">
      <c r="A632" s="207"/>
      <c r="B632" s="207"/>
      <c r="C632" s="207"/>
      <c r="D632" s="207"/>
      <c r="E632" s="207"/>
      <c r="F632" s="207"/>
    </row>
    <row r="633" spans="1:6" hidden="1" x14ac:dyDescent="0.4">
      <c r="A633" s="207"/>
      <c r="B633" s="207"/>
      <c r="C633" s="207"/>
      <c r="D633" s="207"/>
      <c r="E633" s="207"/>
      <c r="F633" s="207"/>
    </row>
    <row r="634" spans="1:6" hidden="1" x14ac:dyDescent="0.4">
      <c r="A634" s="207"/>
      <c r="B634" s="207"/>
      <c r="C634" s="207"/>
      <c r="D634" s="207"/>
      <c r="E634" s="207"/>
      <c r="F634" s="207"/>
    </row>
    <row r="635" spans="1:6" hidden="1" x14ac:dyDescent="0.4">
      <c r="A635" s="207"/>
      <c r="B635" s="207"/>
      <c r="C635" s="207"/>
      <c r="D635" s="207"/>
      <c r="E635" s="207"/>
      <c r="F635" s="207"/>
    </row>
    <row r="636" spans="1:6" hidden="1" x14ac:dyDescent="0.4">
      <c r="A636" s="207"/>
      <c r="B636" s="207"/>
      <c r="C636" s="207"/>
      <c r="D636" s="207"/>
      <c r="E636" s="207"/>
      <c r="F636" s="207"/>
    </row>
    <row r="637" spans="1:6" hidden="1" x14ac:dyDescent="0.4">
      <c r="A637" s="207"/>
      <c r="B637" s="207"/>
      <c r="C637" s="207"/>
      <c r="D637" s="207"/>
      <c r="E637" s="207"/>
      <c r="F637" s="207"/>
    </row>
    <row r="638" spans="1:6" hidden="1" x14ac:dyDescent="0.4">
      <c r="A638" s="207"/>
      <c r="B638" s="207"/>
      <c r="C638" s="207"/>
      <c r="D638" s="207"/>
      <c r="E638" s="207"/>
      <c r="F638" s="207"/>
    </row>
    <row r="639" spans="1:6" hidden="1" x14ac:dyDescent="0.4">
      <c r="A639" s="207"/>
      <c r="B639" s="207"/>
      <c r="C639" s="207"/>
      <c r="D639" s="207"/>
      <c r="E639" s="207"/>
      <c r="F639" s="207"/>
    </row>
    <row r="640" spans="1:6" hidden="1" x14ac:dyDescent="0.4">
      <c r="A640" s="207"/>
      <c r="B640" s="207"/>
      <c r="C640" s="207"/>
      <c r="D640" s="207"/>
      <c r="E640" s="207"/>
      <c r="F640" s="207"/>
    </row>
    <row r="641" spans="1:6" hidden="1" x14ac:dyDescent="0.4">
      <c r="A641" s="207"/>
      <c r="B641" s="207"/>
      <c r="C641" s="207"/>
      <c r="D641" s="207"/>
      <c r="E641" s="207"/>
      <c r="F641" s="207"/>
    </row>
    <row r="642" spans="1:6" hidden="1" x14ac:dyDescent="0.4">
      <c r="A642" s="207"/>
      <c r="B642" s="207"/>
      <c r="C642" s="207"/>
      <c r="D642" s="207"/>
      <c r="E642" s="207"/>
      <c r="F642" s="207"/>
    </row>
    <row r="643" spans="1:6" hidden="1" x14ac:dyDescent="0.4">
      <c r="A643" s="207"/>
      <c r="B643" s="207"/>
      <c r="C643" s="207"/>
      <c r="D643" s="207"/>
      <c r="E643" s="207"/>
      <c r="F643" s="207"/>
    </row>
    <row r="644" spans="1:6" hidden="1" x14ac:dyDescent="0.4">
      <c r="A644" s="207"/>
      <c r="B644" s="207"/>
      <c r="C644" s="207"/>
      <c r="D644" s="207"/>
      <c r="E644" s="207"/>
      <c r="F644" s="207"/>
    </row>
    <row r="645" spans="1:6" hidden="1" x14ac:dyDescent="0.4">
      <c r="A645" s="207"/>
      <c r="B645" s="207"/>
      <c r="C645" s="207"/>
      <c r="D645" s="207"/>
      <c r="E645" s="207"/>
      <c r="F645" s="207"/>
    </row>
    <row r="646" spans="1:6" hidden="1" x14ac:dyDescent="0.4">
      <c r="A646" s="207"/>
      <c r="B646" s="207"/>
      <c r="C646" s="207"/>
      <c r="D646" s="207"/>
      <c r="E646" s="207"/>
      <c r="F646" s="207"/>
    </row>
    <row r="647" spans="1:6" hidden="1" x14ac:dyDescent="0.4">
      <c r="A647" s="207"/>
      <c r="B647" s="207"/>
      <c r="C647" s="207"/>
      <c r="D647" s="207"/>
      <c r="E647" s="207"/>
      <c r="F647" s="207"/>
    </row>
    <row r="648" spans="1:6" hidden="1" x14ac:dyDescent="0.4">
      <c r="A648" s="207"/>
      <c r="B648" s="207"/>
      <c r="C648" s="207"/>
      <c r="D648" s="207"/>
      <c r="E648" s="207"/>
      <c r="F648" s="207"/>
    </row>
    <row r="649" spans="1:6" hidden="1" x14ac:dyDescent="0.4">
      <c r="A649" s="207"/>
      <c r="B649" s="207"/>
      <c r="C649" s="207"/>
      <c r="D649" s="207"/>
      <c r="E649" s="207"/>
      <c r="F649" s="207"/>
    </row>
    <row r="650" spans="1:6" hidden="1" x14ac:dyDescent="0.4">
      <c r="A650" s="207"/>
      <c r="B650" s="207"/>
      <c r="C650" s="207"/>
      <c r="D650" s="207"/>
      <c r="E650" s="207"/>
      <c r="F650" s="207"/>
    </row>
    <row r="651" spans="1:6" hidden="1" x14ac:dyDescent="0.4">
      <c r="A651" s="207"/>
      <c r="B651" s="207"/>
      <c r="C651" s="207"/>
      <c r="D651" s="207"/>
      <c r="E651" s="207"/>
      <c r="F651" s="207"/>
    </row>
    <row r="652" spans="1:6" hidden="1" x14ac:dyDescent="0.4">
      <c r="A652" s="207"/>
      <c r="B652" s="207"/>
      <c r="C652" s="207"/>
      <c r="D652" s="207"/>
      <c r="E652" s="207"/>
      <c r="F652" s="207"/>
    </row>
    <row r="653" spans="1:6" hidden="1" x14ac:dyDescent="0.4">
      <c r="A653" s="207"/>
      <c r="B653" s="207"/>
      <c r="C653" s="207"/>
      <c r="D653" s="207"/>
      <c r="E653" s="207"/>
      <c r="F653" s="207"/>
    </row>
    <row r="654" spans="1:6" hidden="1" x14ac:dyDescent="0.4">
      <c r="A654" s="207"/>
      <c r="B654" s="207"/>
      <c r="C654" s="207"/>
      <c r="D654" s="207"/>
      <c r="E654" s="207"/>
      <c r="F654" s="207"/>
    </row>
    <row r="655" spans="1:6" hidden="1" x14ac:dyDescent="0.4">
      <c r="A655" s="207"/>
      <c r="B655" s="207"/>
      <c r="C655" s="207"/>
      <c r="D655" s="207"/>
      <c r="E655" s="207"/>
      <c r="F655" s="207"/>
    </row>
    <row r="656" spans="1:6" hidden="1" x14ac:dyDescent="0.4">
      <c r="A656" s="207"/>
      <c r="B656" s="207"/>
      <c r="C656" s="207"/>
      <c r="D656" s="207"/>
      <c r="E656" s="207"/>
      <c r="F656" s="207"/>
    </row>
    <row r="657" spans="1:6" hidden="1" x14ac:dyDescent="0.4">
      <c r="A657" s="207"/>
      <c r="B657" s="207"/>
      <c r="C657" s="207"/>
      <c r="D657" s="207"/>
      <c r="E657" s="207"/>
      <c r="F657" s="207"/>
    </row>
    <row r="658" spans="1:6" hidden="1" x14ac:dyDescent="0.4">
      <c r="A658" s="207"/>
      <c r="B658" s="207"/>
      <c r="C658" s="207"/>
      <c r="D658" s="207"/>
      <c r="E658" s="207"/>
      <c r="F658" s="207"/>
    </row>
    <row r="659" spans="1:6" hidden="1" x14ac:dyDescent="0.4">
      <c r="A659" s="207"/>
      <c r="B659" s="207"/>
      <c r="C659" s="207"/>
      <c r="D659" s="207"/>
      <c r="E659" s="207"/>
      <c r="F659" s="207"/>
    </row>
    <row r="660" spans="1:6" hidden="1" x14ac:dyDescent="0.4">
      <c r="A660" s="207"/>
      <c r="B660" s="207"/>
      <c r="C660" s="207"/>
      <c r="D660" s="207"/>
      <c r="E660" s="207"/>
      <c r="F660" s="207"/>
    </row>
    <row r="661" spans="1:6" hidden="1" x14ac:dyDescent="0.4">
      <c r="A661" s="207"/>
      <c r="B661" s="207"/>
      <c r="C661" s="207"/>
      <c r="D661" s="207"/>
      <c r="E661" s="207"/>
      <c r="F661" s="207"/>
    </row>
    <row r="662" spans="1:6" hidden="1" x14ac:dyDescent="0.4">
      <c r="A662" s="207"/>
      <c r="B662" s="207"/>
      <c r="C662" s="207"/>
      <c r="D662" s="207"/>
      <c r="E662" s="207"/>
      <c r="F662" s="207"/>
    </row>
    <row r="663" spans="1:6" hidden="1" x14ac:dyDescent="0.4">
      <c r="A663" s="207"/>
      <c r="B663" s="207"/>
      <c r="C663" s="207"/>
      <c r="D663" s="207"/>
      <c r="E663" s="207"/>
      <c r="F663" s="207"/>
    </row>
    <row r="664" spans="1:6" hidden="1" x14ac:dyDescent="0.4">
      <c r="A664" s="207"/>
      <c r="B664" s="207"/>
      <c r="C664" s="207"/>
      <c r="D664" s="207"/>
      <c r="E664" s="207"/>
      <c r="F664" s="207"/>
    </row>
    <row r="665" spans="1:6" hidden="1" x14ac:dyDescent="0.4">
      <c r="A665" s="207"/>
      <c r="B665" s="207"/>
      <c r="C665" s="207"/>
      <c r="D665" s="207"/>
      <c r="E665" s="207"/>
      <c r="F665" s="207"/>
    </row>
    <row r="666" spans="1:6" hidden="1" x14ac:dyDescent="0.4">
      <c r="A666" s="207"/>
      <c r="B666" s="207"/>
      <c r="C666" s="207"/>
      <c r="D666" s="207"/>
      <c r="E666" s="207"/>
      <c r="F666" s="207"/>
    </row>
    <row r="667" spans="1:6" hidden="1" x14ac:dyDescent="0.4">
      <c r="A667" s="207"/>
      <c r="B667" s="207"/>
      <c r="C667" s="207"/>
      <c r="D667" s="207"/>
      <c r="E667" s="207"/>
      <c r="F667" s="207"/>
    </row>
    <row r="668" spans="1:6" hidden="1" x14ac:dyDescent="0.4">
      <c r="A668" s="207"/>
      <c r="B668" s="207"/>
      <c r="C668" s="207"/>
      <c r="D668" s="207"/>
      <c r="E668" s="207"/>
      <c r="F668" s="207"/>
    </row>
    <row r="669" spans="1:6" hidden="1" x14ac:dyDescent="0.4">
      <c r="A669" s="207"/>
      <c r="B669" s="207"/>
      <c r="C669" s="207"/>
      <c r="D669" s="207"/>
      <c r="E669" s="207"/>
      <c r="F669" s="207"/>
    </row>
    <row r="670" spans="1:6" hidden="1" x14ac:dyDescent="0.4">
      <c r="A670" s="207"/>
      <c r="B670" s="207"/>
      <c r="C670" s="207"/>
      <c r="D670" s="207"/>
      <c r="E670" s="207"/>
      <c r="F670" s="207"/>
    </row>
    <row r="671" spans="1:6" hidden="1" x14ac:dyDescent="0.4">
      <c r="A671" s="207"/>
      <c r="B671" s="207"/>
      <c r="C671" s="207"/>
      <c r="D671" s="207"/>
      <c r="E671" s="207"/>
      <c r="F671" s="207"/>
    </row>
    <row r="672" spans="1:6" hidden="1" x14ac:dyDescent="0.4">
      <c r="A672" s="207"/>
      <c r="B672" s="207"/>
      <c r="C672" s="207"/>
      <c r="D672" s="207"/>
      <c r="E672" s="207"/>
      <c r="F672" s="207"/>
    </row>
    <row r="673" spans="1:6" hidden="1" x14ac:dyDescent="0.4">
      <c r="A673" s="207"/>
      <c r="B673" s="207"/>
      <c r="C673" s="207"/>
      <c r="D673" s="207"/>
      <c r="E673" s="207"/>
      <c r="F673" s="207"/>
    </row>
    <row r="674" spans="1:6" hidden="1" x14ac:dyDescent="0.4">
      <c r="A674" s="207"/>
      <c r="B674" s="207"/>
      <c r="C674" s="207"/>
      <c r="D674" s="207"/>
      <c r="E674" s="207"/>
      <c r="F674" s="207"/>
    </row>
    <row r="675" spans="1:6" hidden="1" x14ac:dyDescent="0.4">
      <c r="A675" s="207"/>
      <c r="B675" s="207"/>
      <c r="C675" s="207"/>
      <c r="D675" s="207"/>
      <c r="E675" s="207"/>
      <c r="F675" s="207"/>
    </row>
    <row r="676" spans="1:6" hidden="1" x14ac:dyDescent="0.4">
      <c r="A676" s="207"/>
      <c r="B676" s="207"/>
      <c r="C676" s="207"/>
      <c r="D676" s="207"/>
      <c r="E676" s="207"/>
      <c r="F676" s="207"/>
    </row>
    <row r="677" spans="1:6" hidden="1" x14ac:dyDescent="0.4">
      <c r="A677" s="207"/>
      <c r="B677" s="207"/>
      <c r="C677" s="207"/>
      <c r="D677" s="207"/>
      <c r="E677" s="207"/>
      <c r="F677" s="207"/>
    </row>
    <row r="678" spans="1:6" hidden="1" x14ac:dyDescent="0.4">
      <c r="A678" s="207"/>
      <c r="B678" s="207"/>
      <c r="C678" s="207"/>
      <c r="D678" s="207"/>
      <c r="E678" s="207"/>
      <c r="F678" s="207"/>
    </row>
    <row r="679" spans="1:6" hidden="1" x14ac:dyDescent="0.4">
      <c r="A679" s="207"/>
      <c r="B679" s="207"/>
      <c r="C679" s="207"/>
      <c r="D679" s="207"/>
      <c r="E679" s="207"/>
      <c r="F679" s="207"/>
    </row>
    <row r="680" spans="1:6" hidden="1" x14ac:dyDescent="0.4">
      <c r="A680" s="207"/>
      <c r="B680" s="207"/>
      <c r="C680" s="207"/>
      <c r="D680" s="207"/>
      <c r="E680" s="207"/>
      <c r="F680" s="207"/>
    </row>
    <row r="681" spans="1:6" hidden="1" x14ac:dyDescent="0.4">
      <c r="A681" s="207"/>
      <c r="B681" s="207"/>
      <c r="C681" s="207"/>
      <c r="D681" s="207"/>
      <c r="E681" s="207"/>
      <c r="F681" s="207"/>
    </row>
    <row r="682" spans="1:6" hidden="1" x14ac:dyDescent="0.4">
      <c r="A682" s="207"/>
      <c r="B682" s="207"/>
      <c r="C682" s="207"/>
      <c r="D682" s="207"/>
      <c r="E682" s="207"/>
      <c r="F682" s="207"/>
    </row>
    <row r="683" spans="1:6" hidden="1" x14ac:dyDescent="0.4">
      <c r="A683" s="207"/>
      <c r="B683" s="207"/>
      <c r="C683" s="207"/>
      <c r="D683" s="207"/>
      <c r="E683" s="207"/>
      <c r="F683" s="207"/>
    </row>
    <row r="684" spans="1:6" hidden="1" x14ac:dyDescent="0.4">
      <c r="A684" s="207"/>
      <c r="B684" s="207"/>
      <c r="C684" s="207"/>
      <c r="D684" s="207"/>
      <c r="E684" s="207"/>
      <c r="F684" s="207"/>
    </row>
    <row r="685" spans="1:6" hidden="1" x14ac:dyDescent="0.4">
      <c r="A685" s="207"/>
      <c r="B685" s="207"/>
      <c r="C685" s="207"/>
      <c r="D685" s="207"/>
      <c r="E685" s="207"/>
      <c r="F685" s="207"/>
    </row>
    <row r="686" spans="1:6" hidden="1" x14ac:dyDescent="0.4">
      <c r="A686" s="207"/>
      <c r="B686" s="207"/>
      <c r="C686" s="207"/>
      <c r="D686" s="207"/>
      <c r="E686" s="207"/>
      <c r="F686" s="207"/>
    </row>
    <row r="687" spans="1:6" hidden="1" x14ac:dyDescent="0.4">
      <c r="A687" s="207"/>
      <c r="B687" s="207"/>
      <c r="C687" s="207"/>
      <c r="D687" s="207"/>
      <c r="E687" s="207"/>
      <c r="F687" s="207"/>
    </row>
    <row r="688" spans="1:6" hidden="1" x14ac:dyDescent="0.4">
      <c r="A688" s="207"/>
      <c r="B688" s="207"/>
      <c r="C688" s="207"/>
      <c r="D688" s="207"/>
      <c r="E688" s="207"/>
      <c r="F688" s="207"/>
    </row>
    <row r="689" spans="1:6" hidden="1" x14ac:dyDescent="0.4">
      <c r="A689" s="207"/>
      <c r="B689" s="207"/>
      <c r="C689" s="207"/>
      <c r="D689" s="207"/>
      <c r="E689" s="207"/>
      <c r="F689" s="207"/>
    </row>
    <row r="690" spans="1:6" hidden="1" x14ac:dyDescent="0.4">
      <c r="A690" s="207"/>
      <c r="B690" s="207"/>
      <c r="C690" s="207"/>
      <c r="D690" s="207"/>
      <c r="E690" s="207"/>
      <c r="F690" s="207"/>
    </row>
    <row r="691" spans="1:6" hidden="1" x14ac:dyDescent="0.4">
      <c r="A691" s="207"/>
      <c r="B691" s="207"/>
      <c r="C691" s="207"/>
      <c r="D691" s="207"/>
      <c r="E691" s="207"/>
      <c r="F691" s="207"/>
    </row>
    <row r="692" spans="1:6" hidden="1" x14ac:dyDescent="0.4">
      <c r="A692" s="207"/>
      <c r="B692" s="207"/>
      <c r="C692" s="207"/>
      <c r="D692" s="207"/>
      <c r="E692" s="207"/>
      <c r="F692" s="207"/>
    </row>
    <row r="693" spans="1:6" hidden="1" x14ac:dyDescent="0.4">
      <c r="A693" s="207"/>
      <c r="B693" s="207"/>
      <c r="C693" s="207"/>
      <c r="D693" s="207"/>
      <c r="E693" s="207"/>
      <c r="F693" s="207"/>
    </row>
    <row r="694" spans="1:6" hidden="1" x14ac:dyDescent="0.4">
      <c r="A694" s="207"/>
      <c r="B694" s="207"/>
      <c r="C694" s="207"/>
      <c r="D694" s="207"/>
      <c r="E694" s="207"/>
      <c r="F694" s="207"/>
    </row>
    <row r="695" spans="1:6" hidden="1" x14ac:dyDescent="0.4">
      <c r="A695" s="207"/>
      <c r="B695" s="207"/>
      <c r="C695" s="207"/>
      <c r="D695" s="207"/>
      <c r="E695" s="207"/>
      <c r="F695" s="207"/>
    </row>
    <row r="696" spans="1:6" hidden="1" x14ac:dyDescent="0.4">
      <c r="A696" s="207"/>
      <c r="B696" s="207"/>
      <c r="C696" s="207"/>
      <c r="D696" s="207"/>
      <c r="E696" s="207"/>
      <c r="F696" s="207"/>
    </row>
    <row r="697" spans="1:6" hidden="1" x14ac:dyDescent="0.4">
      <c r="A697" s="207"/>
      <c r="B697" s="207"/>
      <c r="C697" s="207"/>
      <c r="D697" s="207"/>
      <c r="E697" s="207"/>
      <c r="F697" s="207"/>
    </row>
    <row r="698" spans="1:6" hidden="1" x14ac:dyDescent="0.4">
      <c r="A698" s="207"/>
      <c r="B698" s="207"/>
      <c r="C698" s="207"/>
      <c r="D698" s="207"/>
      <c r="E698" s="207"/>
      <c r="F698" s="207"/>
    </row>
    <row r="699" spans="1:6" hidden="1" x14ac:dyDescent="0.4">
      <c r="A699" s="207"/>
      <c r="B699" s="207"/>
      <c r="C699" s="207"/>
      <c r="D699" s="207"/>
      <c r="E699" s="207"/>
      <c r="F699" s="207"/>
    </row>
    <row r="700" spans="1:6" hidden="1" x14ac:dyDescent="0.4">
      <c r="A700" s="207"/>
      <c r="B700" s="207"/>
      <c r="C700" s="207"/>
      <c r="D700" s="207"/>
      <c r="E700" s="207"/>
      <c r="F700" s="207"/>
    </row>
    <row r="701" spans="1:6" hidden="1" x14ac:dyDescent="0.4">
      <c r="A701" s="207"/>
      <c r="B701" s="207"/>
      <c r="C701" s="207"/>
      <c r="D701" s="207"/>
      <c r="E701" s="207"/>
      <c r="F701" s="207"/>
    </row>
    <row r="702" spans="1:6" hidden="1" x14ac:dyDescent="0.4">
      <c r="A702" s="207"/>
      <c r="B702" s="207"/>
      <c r="C702" s="207"/>
      <c r="D702" s="207"/>
      <c r="E702" s="207"/>
      <c r="F702" s="207"/>
    </row>
    <row r="703" spans="1:6" hidden="1" x14ac:dyDescent="0.4">
      <c r="A703" s="207"/>
      <c r="B703" s="207"/>
      <c r="C703" s="207"/>
      <c r="D703" s="207"/>
      <c r="E703" s="207"/>
      <c r="F703" s="207"/>
    </row>
    <row r="704" spans="1:6" hidden="1" x14ac:dyDescent="0.4">
      <c r="A704" s="207"/>
      <c r="B704" s="207"/>
      <c r="C704" s="207"/>
      <c r="D704" s="207"/>
      <c r="E704" s="207"/>
      <c r="F704" s="207"/>
    </row>
    <row r="705" spans="1:6" hidden="1" x14ac:dyDescent="0.4">
      <c r="A705" s="207"/>
      <c r="B705" s="207"/>
      <c r="C705" s="207"/>
      <c r="D705" s="207"/>
      <c r="E705" s="207"/>
      <c r="F705" s="207"/>
    </row>
    <row r="706" spans="1:6" hidden="1" x14ac:dyDescent="0.4">
      <c r="A706" s="207"/>
      <c r="B706" s="207"/>
      <c r="C706" s="207"/>
      <c r="D706" s="207"/>
      <c r="E706" s="207"/>
      <c r="F706" s="207"/>
    </row>
    <row r="707" spans="1:6" hidden="1" x14ac:dyDescent="0.4">
      <c r="A707" s="207"/>
      <c r="B707" s="207"/>
      <c r="C707" s="207"/>
      <c r="D707" s="207"/>
      <c r="E707" s="207"/>
      <c r="F707" s="207"/>
    </row>
    <row r="708" spans="1:6" hidden="1" x14ac:dyDescent="0.4">
      <c r="A708" s="207"/>
      <c r="B708" s="207"/>
      <c r="C708" s="207"/>
      <c r="D708" s="207"/>
      <c r="E708" s="207"/>
      <c r="F708" s="207"/>
    </row>
    <row r="709" spans="1:6" hidden="1" x14ac:dyDescent="0.4">
      <c r="A709" s="207"/>
      <c r="B709" s="207"/>
      <c r="C709" s="207"/>
      <c r="D709" s="207"/>
      <c r="E709" s="207"/>
      <c r="F709" s="207"/>
    </row>
    <row r="710" spans="1:6" hidden="1" x14ac:dyDescent="0.4">
      <c r="A710" s="207"/>
      <c r="B710" s="207"/>
      <c r="C710" s="207"/>
      <c r="D710" s="207"/>
      <c r="E710" s="207"/>
      <c r="F710" s="207"/>
    </row>
    <row r="711" spans="1:6" hidden="1" x14ac:dyDescent="0.4">
      <c r="A711" s="207"/>
      <c r="B711" s="207"/>
      <c r="C711" s="207"/>
      <c r="D711" s="207"/>
      <c r="E711" s="207"/>
      <c r="F711" s="207"/>
    </row>
    <row r="712" spans="1:6" hidden="1" x14ac:dyDescent="0.4">
      <c r="A712" s="207"/>
      <c r="B712" s="207"/>
      <c r="C712" s="207"/>
      <c r="D712" s="207"/>
      <c r="E712" s="207"/>
      <c r="F712" s="207"/>
    </row>
    <row r="713" spans="1:6" hidden="1" x14ac:dyDescent="0.4">
      <c r="A713" s="207"/>
      <c r="B713" s="207"/>
      <c r="C713" s="207"/>
      <c r="D713" s="207"/>
      <c r="E713" s="207"/>
      <c r="F713" s="207"/>
    </row>
    <row r="714" spans="1:6" hidden="1" x14ac:dyDescent="0.4">
      <c r="A714" s="207"/>
      <c r="B714" s="207"/>
      <c r="C714" s="207"/>
      <c r="D714" s="207"/>
      <c r="E714" s="207"/>
      <c r="F714" s="207"/>
    </row>
    <row r="715" spans="1:6" hidden="1" x14ac:dyDescent="0.4">
      <c r="A715" s="207"/>
      <c r="B715" s="207"/>
      <c r="C715" s="207"/>
      <c r="D715" s="207"/>
      <c r="E715" s="207"/>
      <c r="F715" s="207"/>
    </row>
    <row r="716" spans="1:6" hidden="1" x14ac:dyDescent="0.4">
      <c r="A716" s="207"/>
      <c r="B716" s="207"/>
      <c r="C716" s="207"/>
      <c r="D716" s="207"/>
      <c r="E716" s="207"/>
      <c r="F716" s="207"/>
    </row>
    <row r="717" spans="1:6" hidden="1" x14ac:dyDescent="0.4">
      <c r="A717" s="207"/>
      <c r="B717" s="207"/>
      <c r="C717" s="207"/>
      <c r="D717" s="207"/>
      <c r="E717" s="207"/>
      <c r="F717" s="207"/>
    </row>
    <row r="718" spans="1:6" hidden="1" x14ac:dyDescent="0.4">
      <c r="A718" s="207"/>
      <c r="B718" s="207"/>
      <c r="C718" s="207"/>
      <c r="D718" s="207"/>
      <c r="E718" s="207"/>
      <c r="F718" s="207"/>
    </row>
    <row r="719" spans="1:6" hidden="1" x14ac:dyDescent="0.4">
      <c r="A719" s="207"/>
      <c r="B719" s="207"/>
      <c r="C719" s="207"/>
      <c r="D719" s="207"/>
      <c r="E719" s="207"/>
      <c r="F719" s="207"/>
    </row>
    <row r="720" spans="1:6" hidden="1" x14ac:dyDescent="0.4">
      <c r="A720" s="207"/>
      <c r="B720" s="207"/>
      <c r="C720" s="207"/>
      <c r="D720" s="207"/>
      <c r="E720" s="207"/>
      <c r="F720" s="207"/>
    </row>
    <row r="721" spans="1:6" hidden="1" x14ac:dyDescent="0.4">
      <c r="A721" s="207"/>
      <c r="B721" s="207"/>
      <c r="C721" s="207"/>
      <c r="D721" s="207"/>
      <c r="E721" s="207"/>
      <c r="F721" s="207"/>
    </row>
    <row r="722" spans="1:6" hidden="1" x14ac:dyDescent="0.4">
      <c r="A722" s="207"/>
      <c r="B722" s="207"/>
      <c r="C722" s="207"/>
      <c r="D722" s="207"/>
      <c r="E722" s="207"/>
      <c r="F722" s="207"/>
    </row>
    <row r="723" spans="1:6" hidden="1" x14ac:dyDescent="0.4">
      <c r="A723" s="207"/>
      <c r="B723" s="207"/>
      <c r="C723" s="207"/>
      <c r="D723" s="207"/>
      <c r="E723" s="207"/>
      <c r="F723" s="207"/>
    </row>
    <row r="724" spans="1:6" hidden="1" x14ac:dyDescent="0.4">
      <c r="A724" s="207"/>
      <c r="B724" s="207"/>
      <c r="C724" s="207"/>
      <c r="D724" s="207"/>
      <c r="E724" s="207"/>
      <c r="F724" s="207"/>
    </row>
    <row r="725" spans="1:6" hidden="1" x14ac:dyDescent="0.4">
      <c r="A725" s="207"/>
      <c r="B725" s="207"/>
      <c r="C725" s="207"/>
      <c r="D725" s="207"/>
      <c r="E725" s="207"/>
      <c r="F725" s="207"/>
    </row>
    <row r="726" spans="1:6" hidden="1" x14ac:dyDescent="0.4">
      <c r="A726" s="207"/>
      <c r="B726" s="207"/>
      <c r="C726" s="207"/>
      <c r="D726" s="207"/>
      <c r="E726" s="207"/>
      <c r="F726" s="207"/>
    </row>
    <row r="727" spans="1:6" hidden="1" x14ac:dyDescent="0.4">
      <c r="A727" s="207"/>
      <c r="B727" s="207"/>
      <c r="C727" s="207"/>
      <c r="D727" s="207"/>
      <c r="E727" s="207"/>
      <c r="F727" s="207"/>
    </row>
    <row r="728" spans="1:6" hidden="1" x14ac:dyDescent="0.4">
      <c r="A728" s="207"/>
      <c r="B728" s="207"/>
      <c r="C728" s="207"/>
      <c r="D728" s="207"/>
      <c r="E728" s="207"/>
      <c r="F728" s="207"/>
    </row>
    <row r="729" spans="1:6" hidden="1" x14ac:dyDescent="0.4">
      <c r="A729" s="207"/>
      <c r="B729" s="207"/>
      <c r="C729" s="207"/>
      <c r="D729" s="207"/>
      <c r="E729" s="207"/>
      <c r="F729" s="207"/>
    </row>
    <row r="730" spans="1:6" hidden="1" x14ac:dyDescent="0.4">
      <c r="A730" s="207"/>
      <c r="B730" s="207"/>
      <c r="C730" s="207"/>
      <c r="D730" s="207"/>
      <c r="E730" s="207"/>
      <c r="F730" s="207"/>
    </row>
    <row r="731" spans="1:6" hidden="1" x14ac:dyDescent="0.4">
      <c r="A731" s="207"/>
      <c r="B731" s="207"/>
      <c r="C731" s="207"/>
      <c r="D731" s="207"/>
      <c r="E731" s="207"/>
      <c r="F731" s="207"/>
    </row>
    <row r="732" spans="1:6" hidden="1" x14ac:dyDescent="0.4">
      <c r="A732" s="207"/>
      <c r="B732" s="207"/>
      <c r="C732" s="207"/>
      <c r="D732" s="207"/>
      <c r="E732" s="207"/>
      <c r="F732" s="207"/>
    </row>
    <row r="733" spans="1:6" hidden="1" x14ac:dyDescent="0.4">
      <c r="A733" s="207"/>
      <c r="B733" s="207"/>
      <c r="C733" s="207"/>
      <c r="D733" s="207"/>
      <c r="E733" s="207"/>
      <c r="F733" s="207"/>
    </row>
    <row r="734" spans="1:6" hidden="1" x14ac:dyDescent="0.4">
      <c r="A734" s="207"/>
      <c r="B734" s="207"/>
      <c r="C734" s="207"/>
      <c r="D734" s="207"/>
      <c r="E734" s="207"/>
      <c r="F734" s="207"/>
    </row>
    <row r="735" spans="1:6" hidden="1" x14ac:dyDescent="0.4">
      <c r="A735" s="207"/>
      <c r="B735" s="207"/>
      <c r="C735" s="207"/>
      <c r="D735" s="207"/>
      <c r="E735" s="207"/>
      <c r="F735" s="207"/>
    </row>
    <row r="736" spans="1:6" hidden="1" x14ac:dyDescent="0.4">
      <c r="A736" s="207"/>
      <c r="B736" s="207"/>
      <c r="C736" s="207"/>
      <c r="D736" s="207"/>
      <c r="E736" s="207"/>
      <c r="F736" s="207"/>
    </row>
    <row r="737" spans="1:6" hidden="1" x14ac:dyDescent="0.4">
      <c r="A737" s="207"/>
      <c r="B737" s="207"/>
      <c r="C737" s="207"/>
      <c r="D737" s="207"/>
      <c r="E737" s="207"/>
      <c r="F737" s="207"/>
    </row>
    <row r="738" spans="1:6" hidden="1" x14ac:dyDescent="0.4">
      <c r="A738" s="207"/>
      <c r="B738" s="207"/>
      <c r="C738" s="207"/>
      <c r="D738" s="207"/>
      <c r="E738" s="207"/>
      <c r="F738" s="207"/>
    </row>
    <row r="739" spans="1:6" hidden="1" x14ac:dyDescent="0.4">
      <c r="A739" s="207"/>
      <c r="B739" s="207"/>
      <c r="C739" s="207"/>
      <c r="D739" s="207"/>
      <c r="E739" s="207"/>
      <c r="F739" s="207"/>
    </row>
    <row r="740" spans="1:6" hidden="1" x14ac:dyDescent="0.4">
      <c r="A740" s="207"/>
      <c r="B740" s="207"/>
      <c r="C740" s="207"/>
      <c r="D740" s="207"/>
      <c r="E740" s="207"/>
      <c r="F740" s="207"/>
    </row>
    <row r="741" spans="1:6" hidden="1" x14ac:dyDescent="0.4">
      <c r="A741" s="207"/>
      <c r="B741" s="207"/>
      <c r="C741" s="207"/>
      <c r="D741" s="207"/>
      <c r="E741" s="207"/>
      <c r="F741" s="207"/>
    </row>
    <row r="742" spans="1:6" hidden="1" x14ac:dyDescent="0.4">
      <c r="A742" s="207"/>
      <c r="B742" s="207"/>
      <c r="C742" s="207"/>
      <c r="D742" s="207"/>
      <c r="E742" s="207"/>
      <c r="F742" s="207"/>
    </row>
    <row r="743" spans="1:6" hidden="1" x14ac:dyDescent="0.4">
      <c r="A743" s="207"/>
      <c r="B743" s="207"/>
      <c r="C743" s="207"/>
      <c r="D743" s="207"/>
      <c r="E743" s="207"/>
      <c r="F743" s="207"/>
    </row>
    <row r="744" spans="1:6" hidden="1" x14ac:dyDescent="0.4">
      <c r="A744" s="207"/>
      <c r="B744" s="207"/>
      <c r="C744" s="207"/>
      <c r="D744" s="207"/>
      <c r="E744" s="207"/>
      <c r="F744" s="207"/>
    </row>
    <row r="745" spans="1:6" hidden="1" x14ac:dyDescent="0.4">
      <c r="A745" s="207"/>
      <c r="B745" s="207"/>
      <c r="C745" s="207"/>
      <c r="D745" s="207"/>
      <c r="E745" s="207"/>
      <c r="F745" s="207"/>
    </row>
    <row r="746" spans="1:6" hidden="1" x14ac:dyDescent="0.4">
      <c r="A746" s="207"/>
      <c r="B746" s="207"/>
      <c r="C746" s="207"/>
      <c r="D746" s="207"/>
      <c r="E746" s="207"/>
      <c r="F746" s="207"/>
    </row>
    <row r="747" spans="1:6" hidden="1" x14ac:dyDescent="0.4">
      <c r="A747" s="207"/>
      <c r="B747" s="207"/>
      <c r="C747" s="207"/>
      <c r="D747" s="207"/>
      <c r="E747" s="207"/>
      <c r="F747" s="207"/>
    </row>
    <row r="748" spans="1:6" hidden="1" x14ac:dyDescent="0.4">
      <c r="A748" s="207"/>
      <c r="B748" s="207"/>
      <c r="C748" s="207"/>
      <c r="D748" s="207"/>
      <c r="E748" s="207"/>
      <c r="F748" s="207"/>
    </row>
    <row r="749" spans="1:6" hidden="1" x14ac:dyDescent="0.4">
      <c r="A749" s="207"/>
      <c r="B749" s="207"/>
      <c r="C749" s="207"/>
      <c r="D749" s="207"/>
      <c r="E749" s="207"/>
      <c r="F749" s="207"/>
    </row>
    <row r="750" spans="1:6" hidden="1" x14ac:dyDescent="0.4">
      <c r="A750" s="207"/>
      <c r="B750" s="207"/>
      <c r="C750" s="207"/>
      <c r="D750" s="207"/>
      <c r="E750" s="207"/>
      <c r="F750" s="207"/>
    </row>
    <row r="751" spans="1:6" hidden="1" x14ac:dyDescent="0.4">
      <c r="A751" s="207"/>
      <c r="B751" s="207"/>
      <c r="C751" s="207"/>
      <c r="D751" s="207"/>
      <c r="E751" s="207"/>
      <c r="F751" s="207"/>
    </row>
    <row r="752" spans="1:6" hidden="1" x14ac:dyDescent="0.4">
      <c r="A752" s="207"/>
      <c r="B752" s="207"/>
      <c r="C752" s="207"/>
      <c r="D752" s="207"/>
      <c r="E752" s="207"/>
      <c r="F752" s="207"/>
    </row>
    <row r="753" spans="1:6" hidden="1" x14ac:dyDescent="0.4">
      <c r="A753" s="207"/>
      <c r="B753" s="207"/>
      <c r="C753" s="207"/>
      <c r="D753" s="207"/>
      <c r="E753" s="207"/>
      <c r="F753" s="207"/>
    </row>
    <row r="754" spans="1:6" hidden="1" x14ac:dyDescent="0.4">
      <c r="A754" s="207"/>
      <c r="B754" s="207"/>
      <c r="C754" s="207"/>
      <c r="D754" s="207"/>
      <c r="E754" s="207"/>
      <c r="F754" s="207"/>
    </row>
    <row r="755" spans="1:6" hidden="1" x14ac:dyDescent="0.4">
      <c r="A755" s="207"/>
      <c r="B755" s="207"/>
      <c r="C755" s="207"/>
      <c r="D755" s="207"/>
      <c r="E755" s="207"/>
      <c r="F755" s="207"/>
    </row>
    <row r="756" spans="1:6" hidden="1" x14ac:dyDescent="0.4">
      <c r="A756" s="207"/>
      <c r="B756" s="207"/>
      <c r="C756" s="207"/>
      <c r="D756" s="207"/>
      <c r="E756" s="207"/>
      <c r="F756" s="207"/>
    </row>
    <row r="757" spans="1:6" hidden="1" x14ac:dyDescent="0.4">
      <c r="A757" s="207"/>
      <c r="B757" s="207"/>
      <c r="C757" s="207"/>
      <c r="D757" s="207"/>
      <c r="E757" s="207"/>
      <c r="F757" s="207"/>
    </row>
    <row r="758" spans="1:6" hidden="1" x14ac:dyDescent="0.4">
      <c r="A758" s="207"/>
      <c r="B758" s="207"/>
      <c r="C758" s="207"/>
      <c r="D758" s="207"/>
      <c r="E758" s="207"/>
      <c r="F758" s="207"/>
    </row>
    <row r="759" spans="1:6" hidden="1" x14ac:dyDescent="0.4">
      <c r="A759" s="207"/>
      <c r="B759" s="207"/>
      <c r="C759" s="207"/>
      <c r="D759" s="207"/>
      <c r="E759" s="207"/>
      <c r="F759" s="207"/>
    </row>
    <row r="760" spans="1:6" hidden="1" x14ac:dyDescent="0.4">
      <c r="A760" s="207"/>
      <c r="B760" s="207"/>
      <c r="C760" s="207"/>
      <c r="D760" s="207"/>
      <c r="E760" s="207"/>
      <c r="F760" s="207"/>
    </row>
    <row r="761" spans="1:6" hidden="1" x14ac:dyDescent="0.4">
      <c r="A761" s="207"/>
      <c r="B761" s="207"/>
      <c r="C761" s="207"/>
      <c r="D761" s="207"/>
      <c r="E761" s="207"/>
      <c r="F761" s="207"/>
    </row>
    <row r="762" spans="1:6" hidden="1" x14ac:dyDescent="0.4">
      <c r="A762" s="207"/>
      <c r="B762" s="207"/>
      <c r="C762" s="207"/>
      <c r="D762" s="207"/>
      <c r="E762" s="207"/>
      <c r="F762" s="207"/>
    </row>
    <row r="763" spans="1:6" hidden="1" x14ac:dyDescent="0.4">
      <c r="A763" s="207"/>
      <c r="B763" s="207"/>
      <c r="C763" s="207"/>
      <c r="D763" s="207"/>
      <c r="E763" s="207"/>
      <c r="F763" s="207"/>
    </row>
    <row r="764" spans="1:6" hidden="1" x14ac:dyDescent="0.4">
      <c r="A764" s="207"/>
      <c r="B764" s="207"/>
      <c r="C764" s="207"/>
      <c r="D764" s="207"/>
      <c r="E764" s="207"/>
      <c r="F764" s="207"/>
    </row>
    <row r="765" spans="1:6" hidden="1" x14ac:dyDescent="0.4">
      <c r="A765" s="207"/>
      <c r="B765" s="207"/>
      <c r="C765" s="207"/>
      <c r="D765" s="207"/>
      <c r="E765" s="207"/>
      <c r="F765" s="207"/>
    </row>
    <row r="766" spans="1:6" hidden="1" x14ac:dyDescent="0.4">
      <c r="A766" s="207"/>
      <c r="B766" s="207"/>
      <c r="C766" s="207"/>
      <c r="D766" s="207"/>
      <c r="E766" s="207"/>
      <c r="F766" s="207"/>
    </row>
    <row r="767" spans="1:6" hidden="1" x14ac:dyDescent="0.4">
      <c r="A767" s="207"/>
      <c r="B767" s="207"/>
      <c r="C767" s="207"/>
      <c r="D767" s="207"/>
      <c r="E767" s="207"/>
      <c r="F767" s="207"/>
    </row>
    <row r="768" spans="1:6" hidden="1" x14ac:dyDescent="0.4">
      <c r="A768" s="207"/>
      <c r="B768" s="207"/>
      <c r="C768" s="207"/>
      <c r="D768" s="207"/>
      <c r="E768" s="207"/>
      <c r="F768" s="207"/>
    </row>
    <row r="769" spans="1:6" hidden="1" x14ac:dyDescent="0.4">
      <c r="A769" s="207"/>
      <c r="B769" s="207"/>
      <c r="C769" s="207"/>
      <c r="D769" s="207"/>
      <c r="E769" s="207"/>
      <c r="F769" s="207"/>
    </row>
    <row r="770" spans="1:6" hidden="1" x14ac:dyDescent="0.4">
      <c r="A770" s="207"/>
      <c r="B770" s="207"/>
      <c r="C770" s="207"/>
      <c r="D770" s="207"/>
      <c r="E770" s="207"/>
      <c r="F770" s="207"/>
    </row>
    <row r="771" spans="1:6" hidden="1" x14ac:dyDescent="0.4">
      <c r="A771" s="207"/>
      <c r="B771" s="207"/>
      <c r="C771" s="207"/>
      <c r="D771" s="207"/>
      <c r="E771" s="207"/>
      <c r="F771" s="207"/>
    </row>
    <row r="772" spans="1:6" hidden="1" x14ac:dyDescent="0.4">
      <c r="A772" s="207"/>
      <c r="B772" s="207"/>
      <c r="C772" s="207"/>
      <c r="D772" s="207"/>
      <c r="E772" s="207"/>
      <c r="F772" s="207"/>
    </row>
    <row r="773" spans="1:6" hidden="1" x14ac:dyDescent="0.4">
      <c r="A773" s="207"/>
      <c r="B773" s="207"/>
      <c r="C773" s="207"/>
      <c r="D773" s="207"/>
      <c r="E773" s="207"/>
      <c r="F773" s="207"/>
    </row>
    <row r="774" spans="1:6" hidden="1" x14ac:dyDescent="0.4">
      <c r="A774" s="207"/>
      <c r="B774" s="207"/>
      <c r="C774" s="207"/>
      <c r="D774" s="207"/>
      <c r="E774" s="207"/>
      <c r="F774" s="207"/>
    </row>
    <row r="775" spans="1:6" hidden="1" x14ac:dyDescent="0.4">
      <c r="A775" s="207"/>
      <c r="B775" s="207"/>
      <c r="C775" s="207"/>
      <c r="D775" s="207"/>
      <c r="E775" s="207"/>
      <c r="F775" s="207"/>
    </row>
    <row r="776" spans="1:6" hidden="1" x14ac:dyDescent="0.4">
      <c r="A776" s="207"/>
      <c r="B776" s="207"/>
      <c r="C776" s="207"/>
      <c r="D776" s="207"/>
      <c r="E776" s="207"/>
      <c r="F776" s="207"/>
    </row>
    <row r="777" spans="1:6" hidden="1" x14ac:dyDescent="0.4">
      <c r="A777" s="207"/>
      <c r="B777" s="207"/>
      <c r="C777" s="207"/>
      <c r="D777" s="207"/>
      <c r="E777" s="207"/>
      <c r="F777" s="207"/>
    </row>
    <row r="778" spans="1:6" hidden="1" x14ac:dyDescent="0.4">
      <c r="A778" s="207"/>
      <c r="B778" s="207"/>
      <c r="C778" s="207"/>
      <c r="D778" s="207"/>
      <c r="E778" s="207"/>
      <c r="F778" s="207"/>
    </row>
    <row r="779" spans="1:6" hidden="1" x14ac:dyDescent="0.4">
      <c r="A779" s="207"/>
      <c r="B779" s="207"/>
      <c r="C779" s="207"/>
      <c r="D779" s="207"/>
      <c r="E779" s="207"/>
      <c r="F779" s="207"/>
    </row>
    <row r="780" spans="1:6" hidden="1" x14ac:dyDescent="0.4">
      <c r="A780" s="207"/>
      <c r="B780" s="207"/>
      <c r="C780" s="207"/>
      <c r="D780" s="207"/>
      <c r="E780" s="207"/>
      <c r="F780" s="207"/>
    </row>
    <row r="781" spans="1:6" hidden="1" x14ac:dyDescent="0.4">
      <c r="A781" s="207"/>
      <c r="B781" s="207"/>
      <c r="C781" s="207"/>
      <c r="D781" s="207"/>
      <c r="E781" s="207"/>
      <c r="F781" s="207"/>
    </row>
    <row r="782" spans="1:6" hidden="1" x14ac:dyDescent="0.4">
      <c r="A782" s="207"/>
      <c r="B782" s="207"/>
      <c r="C782" s="207"/>
      <c r="D782" s="207"/>
      <c r="E782" s="207"/>
      <c r="F782" s="207"/>
    </row>
    <row r="783" spans="1:6" hidden="1" x14ac:dyDescent="0.4">
      <c r="A783" s="207"/>
      <c r="B783" s="207"/>
      <c r="C783" s="207"/>
      <c r="D783" s="207"/>
      <c r="E783" s="207"/>
      <c r="F783" s="207"/>
    </row>
    <row r="784" spans="1:6" hidden="1" x14ac:dyDescent="0.4">
      <c r="A784" s="207"/>
      <c r="B784" s="207"/>
      <c r="C784" s="207"/>
      <c r="D784" s="207"/>
      <c r="E784" s="207"/>
      <c r="F784" s="207"/>
    </row>
    <row r="785" spans="1:6" hidden="1" x14ac:dyDescent="0.4">
      <c r="A785" s="207"/>
      <c r="B785" s="207"/>
      <c r="C785" s="207"/>
      <c r="D785" s="207"/>
      <c r="E785" s="207"/>
      <c r="F785" s="207"/>
    </row>
    <row r="786" spans="1:6" hidden="1" x14ac:dyDescent="0.4">
      <c r="A786" s="207"/>
      <c r="B786" s="207"/>
      <c r="C786" s="207"/>
      <c r="D786" s="207"/>
      <c r="E786" s="207"/>
      <c r="F786" s="207"/>
    </row>
    <row r="787" spans="1:6" hidden="1" x14ac:dyDescent="0.4">
      <c r="A787" s="207"/>
      <c r="B787" s="207"/>
      <c r="C787" s="207"/>
      <c r="D787" s="207"/>
      <c r="E787" s="207"/>
      <c r="F787" s="207"/>
    </row>
    <row r="788" spans="1:6" hidden="1" x14ac:dyDescent="0.4">
      <c r="A788" s="207"/>
      <c r="B788" s="207"/>
      <c r="C788" s="207"/>
      <c r="D788" s="207"/>
      <c r="E788" s="207"/>
      <c r="F788" s="207"/>
    </row>
    <row r="789" spans="1:6" hidden="1" x14ac:dyDescent="0.4">
      <c r="A789" s="207"/>
      <c r="B789" s="207"/>
      <c r="C789" s="207"/>
      <c r="D789" s="207"/>
      <c r="E789" s="207"/>
      <c r="F789" s="207"/>
    </row>
    <row r="790" spans="1:6" hidden="1" x14ac:dyDescent="0.4">
      <c r="A790" s="207"/>
      <c r="B790" s="207"/>
      <c r="C790" s="207"/>
      <c r="D790" s="207"/>
      <c r="E790" s="207"/>
      <c r="F790" s="207"/>
    </row>
    <row r="791" spans="1:6" hidden="1" x14ac:dyDescent="0.4">
      <c r="A791" s="207"/>
      <c r="B791" s="207"/>
      <c r="C791" s="207"/>
      <c r="D791" s="207"/>
      <c r="E791" s="207"/>
      <c r="F791" s="207"/>
    </row>
    <row r="792" spans="1:6" hidden="1" x14ac:dyDescent="0.4">
      <c r="A792" s="207"/>
      <c r="B792" s="207"/>
      <c r="C792" s="207"/>
      <c r="D792" s="207"/>
      <c r="E792" s="207"/>
      <c r="F792" s="207"/>
    </row>
    <row r="793" spans="1:6" hidden="1" x14ac:dyDescent="0.4">
      <c r="A793" s="207"/>
      <c r="B793" s="207"/>
      <c r="C793" s="207"/>
      <c r="D793" s="207"/>
      <c r="E793" s="207"/>
      <c r="F793" s="207"/>
    </row>
    <row r="794" spans="1:6" hidden="1" x14ac:dyDescent="0.4">
      <c r="A794" s="207"/>
      <c r="B794" s="207"/>
      <c r="C794" s="207"/>
      <c r="D794" s="207"/>
      <c r="E794" s="207"/>
      <c r="F794" s="207"/>
    </row>
    <row r="795" spans="1:6" hidden="1" x14ac:dyDescent="0.4">
      <c r="A795" s="207"/>
      <c r="B795" s="207"/>
      <c r="C795" s="207"/>
      <c r="D795" s="207"/>
      <c r="E795" s="207"/>
      <c r="F795" s="207"/>
    </row>
    <row r="796" spans="1:6" hidden="1" x14ac:dyDescent="0.4">
      <c r="A796" s="207"/>
      <c r="B796" s="207"/>
      <c r="C796" s="207"/>
      <c r="D796" s="207"/>
      <c r="E796" s="207"/>
      <c r="F796" s="207"/>
    </row>
    <row r="797" spans="1:6" hidden="1" x14ac:dyDescent="0.4">
      <c r="A797" s="207"/>
      <c r="B797" s="207"/>
      <c r="C797" s="207"/>
      <c r="D797" s="207"/>
      <c r="E797" s="207"/>
      <c r="F797" s="207"/>
    </row>
    <row r="798" spans="1:6" hidden="1" x14ac:dyDescent="0.4">
      <c r="A798" s="207"/>
      <c r="B798" s="207"/>
      <c r="C798" s="207"/>
      <c r="D798" s="207"/>
      <c r="E798" s="207"/>
      <c r="F798" s="207"/>
    </row>
    <row r="799" spans="1:6" hidden="1" x14ac:dyDescent="0.4">
      <c r="A799" s="207"/>
      <c r="B799" s="207"/>
      <c r="C799" s="207"/>
      <c r="D799" s="207"/>
      <c r="E799" s="207"/>
      <c r="F799" s="207"/>
    </row>
    <row r="800" spans="1:6" hidden="1" x14ac:dyDescent="0.4">
      <c r="A800" s="207"/>
      <c r="B800" s="207"/>
      <c r="C800" s="207"/>
      <c r="D800" s="207"/>
      <c r="E800" s="207"/>
      <c r="F800" s="207"/>
    </row>
    <row r="801" spans="1:6" hidden="1" x14ac:dyDescent="0.4">
      <c r="A801" s="207"/>
      <c r="B801" s="207"/>
      <c r="C801" s="207"/>
      <c r="D801" s="207"/>
      <c r="E801" s="207"/>
      <c r="F801" s="207"/>
    </row>
    <row r="802" spans="1:6" hidden="1" x14ac:dyDescent="0.4">
      <c r="A802" s="207"/>
      <c r="B802" s="207"/>
      <c r="C802" s="207"/>
      <c r="D802" s="207"/>
      <c r="E802" s="207"/>
      <c r="F802" s="207"/>
    </row>
    <row r="803" spans="1:6" hidden="1" x14ac:dyDescent="0.4">
      <c r="A803" s="207"/>
      <c r="B803" s="207"/>
      <c r="C803" s="207"/>
      <c r="D803" s="207"/>
      <c r="E803" s="207"/>
      <c r="F803" s="207"/>
    </row>
    <row r="804" spans="1:6" hidden="1" x14ac:dyDescent="0.4">
      <c r="A804" s="207"/>
      <c r="B804" s="207"/>
      <c r="C804" s="207"/>
      <c r="D804" s="207"/>
      <c r="E804" s="207"/>
      <c r="F804" s="207"/>
    </row>
    <row r="805" spans="1:6" hidden="1" x14ac:dyDescent="0.4">
      <c r="A805" s="207"/>
      <c r="B805" s="207"/>
      <c r="C805" s="207"/>
      <c r="D805" s="207"/>
      <c r="E805" s="207"/>
      <c r="F805" s="207"/>
    </row>
    <row r="806" spans="1:6" hidden="1" x14ac:dyDescent="0.4">
      <c r="A806" s="207"/>
      <c r="B806" s="207"/>
      <c r="C806" s="207"/>
      <c r="D806" s="207"/>
      <c r="E806" s="207"/>
      <c r="F806" s="207"/>
    </row>
    <row r="807" spans="1:6" hidden="1" x14ac:dyDescent="0.4">
      <c r="A807" s="207"/>
      <c r="B807" s="207"/>
      <c r="C807" s="207"/>
      <c r="D807" s="207"/>
      <c r="E807" s="207"/>
      <c r="F807" s="207"/>
    </row>
    <row r="808" spans="1:6" hidden="1" x14ac:dyDescent="0.4">
      <c r="A808" s="207"/>
      <c r="B808" s="207"/>
      <c r="C808" s="207"/>
      <c r="D808" s="207"/>
      <c r="E808" s="207"/>
      <c r="F808" s="207"/>
    </row>
    <row r="809" spans="1:6" hidden="1" x14ac:dyDescent="0.4">
      <c r="A809" s="207"/>
      <c r="B809" s="207"/>
      <c r="C809" s="207"/>
      <c r="D809" s="207"/>
      <c r="E809" s="207"/>
      <c r="F809" s="207"/>
    </row>
    <row r="810" spans="1:6" hidden="1" x14ac:dyDescent="0.4">
      <c r="A810" s="207"/>
      <c r="B810" s="207"/>
      <c r="C810" s="207"/>
      <c r="D810" s="207"/>
      <c r="E810" s="207"/>
      <c r="F810" s="207"/>
    </row>
    <row r="811" spans="1:6" hidden="1" x14ac:dyDescent="0.4">
      <c r="A811" s="207"/>
      <c r="B811" s="207"/>
      <c r="C811" s="207"/>
      <c r="D811" s="207"/>
      <c r="E811" s="207"/>
      <c r="F811" s="207"/>
    </row>
    <row r="812" spans="1:6" hidden="1" x14ac:dyDescent="0.4">
      <c r="A812" s="207"/>
      <c r="B812" s="207"/>
      <c r="C812" s="207"/>
      <c r="D812" s="207"/>
      <c r="E812" s="207"/>
      <c r="F812" s="207"/>
    </row>
    <row r="813" spans="1:6" hidden="1" x14ac:dyDescent="0.4">
      <c r="A813" s="207"/>
      <c r="B813" s="207"/>
      <c r="C813" s="207"/>
      <c r="D813" s="207"/>
      <c r="E813" s="207"/>
      <c r="F813" s="207"/>
    </row>
    <row r="814" spans="1:6" hidden="1" x14ac:dyDescent="0.4">
      <c r="A814" s="207"/>
      <c r="B814" s="207"/>
      <c r="C814" s="207"/>
      <c r="D814" s="207"/>
      <c r="E814" s="207"/>
      <c r="F814" s="207"/>
    </row>
    <row r="815" spans="1:6" hidden="1" x14ac:dyDescent="0.4">
      <c r="A815" s="207"/>
      <c r="B815" s="207"/>
      <c r="C815" s="207"/>
      <c r="D815" s="207"/>
      <c r="E815" s="207"/>
      <c r="F815" s="207"/>
    </row>
    <row r="816" spans="1:6" hidden="1" x14ac:dyDescent="0.4">
      <c r="A816" s="207"/>
      <c r="B816" s="207"/>
      <c r="C816" s="207"/>
      <c r="D816" s="207"/>
      <c r="E816" s="207"/>
      <c r="F816" s="207"/>
    </row>
    <row r="817" spans="1:6" hidden="1" x14ac:dyDescent="0.4">
      <c r="A817" s="207"/>
      <c r="B817" s="207"/>
      <c r="C817" s="207"/>
      <c r="D817" s="207"/>
      <c r="E817" s="207"/>
      <c r="F817" s="207"/>
    </row>
    <row r="818" spans="1:6" hidden="1" x14ac:dyDescent="0.4">
      <c r="A818" s="207"/>
      <c r="B818" s="207"/>
      <c r="C818" s="207"/>
      <c r="D818" s="207"/>
      <c r="E818" s="207"/>
      <c r="F818" s="207"/>
    </row>
    <row r="819" spans="1:6" hidden="1" x14ac:dyDescent="0.4">
      <c r="A819" s="207"/>
      <c r="B819" s="207"/>
      <c r="C819" s="207"/>
      <c r="D819" s="207"/>
      <c r="E819" s="207"/>
      <c r="F819" s="207"/>
    </row>
    <row r="820" spans="1:6" hidden="1" x14ac:dyDescent="0.4">
      <c r="A820" s="207"/>
      <c r="B820" s="207"/>
      <c r="C820" s="207"/>
      <c r="D820" s="207"/>
      <c r="E820" s="207"/>
      <c r="F820" s="207"/>
    </row>
    <row r="821" spans="1:6" hidden="1" x14ac:dyDescent="0.4">
      <c r="A821" s="207"/>
      <c r="B821" s="207"/>
      <c r="C821" s="207"/>
      <c r="D821" s="207"/>
      <c r="E821" s="207"/>
      <c r="F821" s="207"/>
    </row>
    <row r="822" spans="1:6" hidden="1" x14ac:dyDescent="0.4">
      <c r="A822" s="207"/>
      <c r="B822" s="207"/>
      <c r="C822" s="207"/>
      <c r="D822" s="207"/>
      <c r="E822" s="207"/>
      <c r="F822" s="207"/>
    </row>
    <row r="823" spans="1:6" hidden="1" x14ac:dyDescent="0.4">
      <c r="A823" s="207"/>
      <c r="B823" s="207"/>
      <c r="C823" s="207"/>
      <c r="D823" s="207"/>
      <c r="E823" s="207"/>
      <c r="F823" s="207"/>
    </row>
    <row r="824" spans="1:6" hidden="1" x14ac:dyDescent="0.4">
      <c r="A824" s="207"/>
      <c r="B824" s="207"/>
      <c r="C824" s="207"/>
      <c r="D824" s="207"/>
      <c r="E824" s="207"/>
      <c r="F824" s="207"/>
    </row>
    <row r="825" spans="1:6" hidden="1" x14ac:dyDescent="0.4">
      <c r="A825" s="207"/>
      <c r="B825" s="207"/>
      <c r="C825" s="207"/>
      <c r="D825" s="207"/>
      <c r="E825" s="207"/>
      <c r="F825" s="207"/>
    </row>
    <row r="826" spans="1:6" hidden="1" x14ac:dyDescent="0.4">
      <c r="A826" s="207"/>
      <c r="B826" s="207"/>
      <c r="C826" s="207"/>
      <c r="D826" s="207"/>
      <c r="E826" s="207"/>
      <c r="F826" s="207"/>
    </row>
    <row r="827" spans="1:6" hidden="1" x14ac:dyDescent="0.4">
      <c r="A827" s="207"/>
      <c r="B827" s="207"/>
      <c r="C827" s="207"/>
      <c r="D827" s="207"/>
      <c r="E827" s="207"/>
      <c r="F827" s="207"/>
    </row>
    <row r="828" spans="1:6" hidden="1" x14ac:dyDescent="0.4">
      <c r="A828" s="207"/>
      <c r="B828" s="207"/>
      <c r="C828" s="207"/>
      <c r="D828" s="207"/>
      <c r="E828" s="207"/>
      <c r="F828" s="207"/>
    </row>
    <row r="829" spans="1:6" hidden="1" x14ac:dyDescent="0.4">
      <c r="A829" s="207"/>
      <c r="B829" s="207"/>
      <c r="C829" s="207"/>
      <c r="D829" s="207"/>
      <c r="E829" s="207"/>
      <c r="F829" s="207"/>
    </row>
    <row r="830" spans="1:6" hidden="1" x14ac:dyDescent="0.4">
      <c r="A830" s="207"/>
      <c r="B830" s="207"/>
      <c r="C830" s="207"/>
      <c r="D830" s="207"/>
      <c r="E830" s="207"/>
      <c r="F830" s="207"/>
    </row>
    <row r="831" spans="1:6" hidden="1" x14ac:dyDescent="0.4">
      <c r="A831" s="207"/>
      <c r="B831" s="207"/>
      <c r="C831" s="207"/>
      <c r="D831" s="207"/>
      <c r="E831" s="207"/>
      <c r="F831" s="207"/>
    </row>
    <row r="832" spans="1:6" hidden="1" x14ac:dyDescent="0.4">
      <c r="A832" s="207"/>
      <c r="B832" s="207"/>
      <c r="C832" s="207"/>
      <c r="D832" s="207"/>
      <c r="E832" s="207"/>
      <c r="F832" s="207"/>
    </row>
    <row r="833" spans="1:6" hidden="1" x14ac:dyDescent="0.4">
      <c r="A833" s="207"/>
      <c r="B833" s="207"/>
      <c r="C833" s="207"/>
      <c r="D833" s="207"/>
      <c r="E833" s="207"/>
      <c r="F833" s="207"/>
    </row>
    <row r="834" spans="1:6" hidden="1" x14ac:dyDescent="0.4">
      <c r="A834" s="207"/>
      <c r="B834" s="207"/>
      <c r="C834" s="207"/>
      <c r="D834" s="207"/>
      <c r="E834" s="207"/>
      <c r="F834" s="207"/>
    </row>
    <row r="835" spans="1:6" hidden="1" x14ac:dyDescent="0.4">
      <c r="A835" s="207"/>
      <c r="B835" s="207"/>
      <c r="C835" s="207"/>
      <c r="D835" s="207"/>
      <c r="E835" s="207"/>
      <c r="F835" s="207"/>
    </row>
    <row r="836" spans="1:6" hidden="1" x14ac:dyDescent="0.4">
      <c r="A836" s="207"/>
      <c r="B836" s="207"/>
      <c r="C836" s="207"/>
      <c r="D836" s="207"/>
      <c r="E836" s="207"/>
      <c r="F836" s="207"/>
    </row>
    <row r="837" spans="1:6" hidden="1" x14ac:dyDescent="0.4">
      <c r="A837" s="207"/>
      <c r="B837" s="207"/>
      <c r="C837" s="207"/>
      <c r="D837" s="207"/>
      <c r="E837" s="207"/>
      <c r="F837" s="207"/>
    </row>
    <row r="838" spans="1:6" hidden="1" x14ac:dyDescent="0.4">
      <c r="A838" s="207"/>
      <c r="B838" s="207"/>
      <c r="C838" s="207"/>
      <c r="D838" s="207"/>
      <c r="E838" s="207"/>
      <c r="F838" s="207"/>
    </row>
    <row r="839" spans="1:6" hidden="1" x14ac:dyDescent="0.4">
      <c r="A839" s="207"/>
      <c r="B839" s="207"/>
      <c r="C839" s="207"/>
      <c r="D839" s="207"/>
      <c r="E839" s="207"/>
      <c r="F839" s="207"/>
    </row>
    <row r="840" spans="1:6" hidden="1" x14ac:dyDescent="0.4">
      <c r="A840" s="207"/>
      <c r="B840" s="207"/>
      <c r="C840" s="207"/>
      <c r="D840" s="207"/>
      <c r="E840" s="207"/>
      <c r="F840" s="207"/>
    </row>
    <row r="841" spans="1:6" hidden="1" x14ac:dyDescent="0.4">
      <c r="A841" s="207"/>
      <c r="B841" s="207"/>
      <c r="C841" s="207"/>
      <c r="D841" s="207"/>
      <c r="E841" s="207"/>
      <c r="F841" s="207"/>
    </row>
    <row r="842" spans="1:6" hidden="1" x14ac:dyDescent="0.4">
      <c r="A842" s="207"/>
      <c r="B842" s="207"/>
      <c r="C842" s="207"/>
      <c r="D842" s="207"/>
      <c r="E842" s="207"/>
      <c r="F842" s="207"/>
    </row>
    <row r="843" spans="1:6" hidden="1" x14ac:dyDescent="0.4">
      <c r="A843" s="207"/>
      <c r="B843" s="207"/>
      <c r="C843" s="207"/>
      <c r="D843" s="207"/>
      <c r="E843" s="207"/>
      <c r="F843" s="207"/>
    </row>
    <row r="844" spans="1:6" hidden="1" x14ac:dyDescent="0.4">
      <c r="A844" s="207"/>
      <c r="B844" s="207"/>
      <c r="C844" s="207"/>
      <c r="D844" s="207"/>
      <c r="E844" s="207"/>
      <c r="F844" s="207"/>
    </row>
    <row r="845" spans="1:6" hidden="1" x14ac:dyDescent="0.4">
      <c r="A845" s="207"/>
      <c r="B845" s="207"/>
      <c r="C845" s="207"/>
      <c r="D845" s="207"/>
      <c r="E845" s="207"/>
      <c r="F845" s="207"/>
    </row>
    <row r="846" spans="1:6" hidden="1" x14ac:dyDescent="0.4">
      <c r="A846" s="207"/>
      <c r="B846" s="207"/>
      <c r="C846" s="207"/>
      <c r="D846" s="207"/>
      <c r="E846" s="207"/>
      <c r="F846" s="207"/>
    </row>
    <row r="847" spans="1:6" hidden="1" x14ac:dyDescent="0.4">
      <c r="A847" s="207"/>
      <c r="B847" s="207"/>
      <c r="C847" s="207"/>
      <c r="D847" s="207"/>
      <c r="E847" s="207"/>
      <c r="F847" s="207"/>
    </row>
    <row r="848" spans="1:6" hidden="1" x14ac:dyDescent="0.4">
      <c r="A848" s="207"/>
      <c r="B848" s="207"/>
      <c r="C848" s="207"/>
      <c r="D848" s="207"/>
      <c r="E848" s="207"/>
      <c r="F848" s="207"/>
    </row>
    <row r="849" spans="1:6" hidden="1" x14ac:dyDescent="0.4">
      <c r="A849" s="207"/>
      <c r="B849" s="207"/>
      <c r="C849" s="207"/>
      <c r="D849" s="207"/>
      <c r="E849" s="207"/>
      <c r="F849" s="207"/>
    </row>
    <row r="850" spans="1:6" hidden="1" x14ac:dyDescent="0.4">
      <c r="A850" s="207"/>
      <c r="B850" s="207"/>
      <c r="C850" s="207"/>
      <c r="D850" s="207"/>
      <c r="E850" s="207"/>
      <c r="F850" s="207"/>
    </row>
    <row r="851" spans="1:6" hidden="1" x14ac:dyDescent="0.4">
      <c r="A851" s="207"/>
      <c r="B851" s="207"/>
      <c r="C851" s="207"/>
      <c r="D851" s="207"/>
      <c r="E851" s="207"/>
      <c r="F851" s="207"/>
    </row>
    <row r="852" spans="1:6" hidden="1" x14ac:dyDescent="0.4">
      <c r="A852" s="207"/>
      <c r="B852" s="207"/>
      <c r="C852" s="207"/>
      <c r="D852" s="207"/>
      <c r="E852" s="207"/>
      <c r="F852" s="207"/>
    </row>
    <row r="853" spans="1:6" hidden="1" x14ac:dyDescent="0.4">
      <c r="A853" s="207"/>
      <c r="B853" s="207"/>
      <c r="C853" s="207"/>
      <c r="D853" s="207"/>
      <c r="E853" s="207"/>
      <c r="F853" s="207"/>
    </row>
    <row r="854" spans="1:6" hidden="1" x14ac:dyDescent="0.4">
      <c r="A854" s="207"/>
      <c r="B854" s="207"/>
      <c r="C854" s="207"/>
      <c r="D854" s="207"/>
      <c r="E854" s="207"/>
      <c r="F854" s="207"/>
    </row>
    <row r="855" spans="1:6" hidden="1" x14ac:dyDescent="0.4">
      <c r="A855" s="207"/>
      <c r="B855" s="207"/>
      <c r="C855" s="207"/>
      <c r="D855" s="207"/>
      <c r="E855" s="207"/>
      <c r="F855" s="207"/>
    </row>
    <row r="856" spans="1:6" hidden="1" x14ac:dyDescent="0.4">
      <c r="A856" s="207"/>
      <c r="B856" s="207"/>
      <c r="C856" s="207"/>
      <c r="D856" s="207"/>
      <c r="E856" s="207"/>
      <c r="F856" s="207"/>
    </row>
    <row r="857" spans="1:6" hidden="1" x14ac:dyDescent="0.4">
      <c r="A857" s="207"/>
      <c r="B857" s="207"/>
      <c r="C857" s="207"/>
      <c r="D857" s="207"/>
      <c r="E857" s="207"/>
      <c r="F857" s="207"/>
    </row>
    <row r="858" spans="1:6" hidden="1" x14ac:dyDescent="0.4">
      <c r="A858" s="207"/>
      <c r="B858" s="207"/>
      <c r="C858" s="207"/>
      <c r="D858" s="207"/>
      <c r="E858" s="207"/>
      <c r="F858" s="207"/>
    </row>
    <row r="859" spans="1:6" hidden="1" x14ac:dyDescent="0.4">
      <c r="A859" s="207"/>
      <c r="B859" s="207"/>
      <c r="C859" s="207"/>
      <c r="D859" s="207"/>
      <c r="E859" s="207"/>
      <c r="F859" s="207"/>
    </row>
    <row r="860" spans="1:6" hidden="1" x14ac:dyDescent="0.4">
      <c r="A860" s="207"/>
      <c r="B860" s="207"/>
      <c r="C860" s="207"/>
      <c r="D860" s="207"/>
      <c r="E860" s="207"/>
      <c r="F860" s="207"/>
    </row>
    <row r="861" spans="1:6" hidden="1" x14ac:dyDescent="0.4">
      <c r="A861" s="207"/>
      <c r="B861" s="207"/>
      <c r="C861" s="207"/>
      <c r="D861" s="207"/>
      <c r="E861" s="207"/>
      <c r="F861" s="207"/>
    </row>
    <row r="862" spans="1:6" hidden="1" x14ac:dyDescent="0.4">
      <c r="A862" s="207"/>
      <c r="B862" s="207"/>
      <c r="C862" s="207"/>
      <c r="D862" s="207"/>
      <c r="E862" s="207"/>
      <c r="F862" s="207"/>
    </row>
    <row r="863" spans="1:6" hidden="1" x14ac:dyDescent="0.4">
      <c r="A863" s="207"/>
      <c r="B863" s="207"/>
      <c r="C863" s="207"/>
      <c r="D863" s="207"/>
      <c r="E863" s="207"/>
      <c r="F863" s="207"/>
    </row>
    <row r="864" spans="1:6" hidden="1" x14ac:dyDescent="0.4">
      <c r="A864" s="207"/>
      <c r="B864" s="207"/>
      <c r="C864" s="207"/>
      <c r="D864" s="207"/>
      <c r="E864" s="207"/>
      <c r="F864" s="207"/>
    </row>
    <row r="865" spans="1:6" hidden="1" x14ac:dyDescent="0.4">
      <c r="A865" s="207"/>
      <c r="B865" s="207"/>
      <c r="C865" s="207"/>
      <c r="D865" s="207"/>
      <c r="E865" s="207"/>
      <c r="F865" s="207"/>
    </row>
    <row r="866" spans="1:6" hidden="1" x14ac:dyDescent="0.4">
      <c r="A866" s="207"/>
      <c r="B866" s="207"/>
      <c r="C866" s="207"/>
      <c r="D866" s="207"/>
      <c r="E866" s="207"/>
      <c r="F866" s="207"/>
    </row>
    <row r="867" spans="1:6" hidden="1" x14ac:dyDescent="0.4">
      <c r="A867" s="207"/>
      <c r="B867" s="207"/>
      <c r="C867" s="207"/>
      <c r="D867" s="207"/>
      <c r="E867" s="207"/>
      <c r="F867" s="207"/>
    </row>
    <row r="868" spans="1:6" hidden="1" x14ac:dyDescent="0.4">
      <c r="A868" s="207"/>
      <c r="B868" s="207"/>
      <c r="C868" s="207"/>
      <c r="D868" s="207"/>
      <c r="E868" s="207"/>
      <c r="F868" s="207"/>
    </row>
    <row r="869" spans="1:6" hidden="1" x14ac:dyDescent="0.4">
      <c r="A869" s="207"/>
      <c r="B869" s="207"/>
      <c r="C869" s="207"/>
      <c r="D869" s="207"/>
      <c r="E869" s="207"/>
      <c r="F869" s="207"/>
    </row>
    <row r="870" spans="1:6" hidden="1" x14ac:dyDescent="0.4">
      <c r="A870" s="207"/>
      <c r="B870" s="207"/>
      <c r="C870" s="207"/>
      <c r="D870" s="207"/>
      <c r="E870" s="207"/>
      <c r="F870" s="207"/>
    </row>
    <row r="871" spans="1:6" hidden="1" x14ac:dyDescent="0.4">
      <c r="A871" s="207"/>
      <c r="B871" s="207"/>
      <c r="C871" s="207"/>
      <c r="D871" s="207"/>
      <c r="E871" s="207"/>
      <c r="F871" s="207"/>
    </row>
    <row r="872" spans="1:6" hidden="1" x14ac:dyDescent="0.4">
      <c r="A872" s="207"/>
      <c r="B872" s="207"/>
      <c r="C872" s="207"/>
      <c r="D872" s="207"/>
      <c r="E872" s="207"/>
      <c r="F872" s="207"/>
    </row>
    <row r="873" spans="1:6" hidden="1" x14ac:dyDescent="0.4">
      <c r="A873" s="207"/>
      <c r="B873" s="207"/>
      <c r="C873" s="207"/>
      <c r="D873" s="207"/>
      <c r="E873" s="207"/>
      <c r="F873" s="207"/>
    </row>
    <row r="874" spans="1:6" hidden="1" x14ac:dyDescent="0.4">
      <c r="A874" s="207"/>
      <c r="B874" s="207"/>
      <c r="C874" s="207"/>
      <c r="D874" s="207"/>
      <c r="E874" s="207"/>
      <c r="F874" s="207"/>
    </row>
    <row r="875" spans="1:6" hidden="1" x14ac:dyDescent="0.4">
      <c r="A875" s="207"/>
      <c r="B875" s="207"/>
      <c r="C875" s="207"/>
      <c r="D875" s="207"/>
      <c r="E875" s="207"/>
      <c r="F875" s="207"/>
    </row>
    <row r="876" spans="1:6" hidden="1" x14ac:dyDescent="0.4">
      <c r="A876" s="207"/>
      <c r="B876" s="207"/>
      <c r="C876" s="207"/>
      <c r="D876" s="207"/>
      <c r="E876" s="207"/>
      <c r="F876" s="207"/>
    </row>
    <row r="877" spans="1:6" hidden="1" x14ac:dyDescent="0.4">
      <c r="A877" s="207"/>
      <c r="B877" s="207"/>
      <c r="C877" s="207"/>
      <c r="D877" s="207"/>
      <c r="E877" s="207"/>
      <c r="F877" s="207"/>
    </row>
    <row r="878" spans="1:6" hidden="1" x14ac:dyDescent="0.4">
      <c r="A878" s="207"/>
      <c r="B878" s="207"/>
      <c r="C878" s="207"/>
      <c r="D878" s="207"/>
      <c r="E878" s="207"/>
      <c r="F878" s="207"/>
    </row>
    <row r="879" spans="1:6" hidden="1" x14ac:dyDescent="0.4">
      <c r="A879" s="207"/>
      <c r="B879" s="207"/>
      <c r="C879" s="207"/>
      <c r="D879" s="207"/>
      <c r="E879" s="207"/>
      <c r="F879" s="207"/>
    </row>
    <row r="880" spans="1:6" hidden="1" x14ac:dyDescent="0.4">
      <c r="A880" s="207"/>
      <c r="B880" s="207"/>
      <c r="C880" s="207"/>
      <c r="D880" s="207"/>
      <c r="E880" s="207"/>
      <c r="F880" s="207"/>
    </row>
    <row r="881" spans="1:6" hidden="1" x14ac:dyDescent="0.4">
      <c r="A881" s="207"/>
      <c r="B881" s="207"/>
      <c r="C881" s="207"/>
      <c r="D881" s="207"/>
      <c r="E881" s="207"/>
      <c r="F881" s="207"/>
    </row>
    <row r="882" spans="1:6" hidden="1" x14ac:dyDescent="0.4">
      <c r="A882" s="207"/>
      <c r="B882" s="207"/>
      <c r="C882" s="207"/>
      <c r="D882" s="207"/>
      <c r="E882" s="207"/>
      <c r="F882" s="207"/>
    </row>
    <row r="883" spans="1:6" hidden="1" x14ac:dyDescent="0.4">
      <c r="A883" s="207"/>
      <c r="B883" s="207"/>
      <c r="C883" s="207"/>
      <c r="D883" s="207"/>
      <c r="E883" s="207"/>
      <c r="F883" s="207"/>
    </row>
    <row r="884" spans="1:6" hidden="1" x14ac:dyDescent="0.4">
      <c r="A884" s="207"/>
      <c r="B884" s="207"/>
      <c r="C884" s="207"/>
      <c r="D884" s="207"/>
      <c r="E884" s="207"/>
      <c r="F884" s="207"/>
    </row>
    <row r="885" spans="1:6" hidden="1" x14ac:dyDescent="0.4">
      <c r="A885" s="207"/>
      <c r="B885" s="207"/>
      <c r="C885" s="207"/>
      <c r="D885" s="207"/>
      <c r="E885" s="207"/>
      <c r="F885" s="207"/>
    </row>
    <row r="886" spans="1:6" hidden="1" x14ac:dyDescent="0.4">
      <c r="A886" s="207"/>
      <c r="B886" s="207"/>
      <c r="C886" s="207"/>
      <c r="D886" s="207"/>
      <c r="E886" s="207"/>
      <c r="F886" s="207"/>
    </row>
    <row r="887" spans="1:6" hidden="1" x14ac:dyDescent="0.4">
      <c r="A887" s="207"/>
      <c r="B887" s="207"/>
      <c r="C887" s="207"/>
      <c r="D887" s="207"/>
      <c r="E887" s="207"/>
      <c r="F887" s="207"/>
    </row>
    <row r="888" spans="1:6" hidden="1" x14ac:dyDescent="0.4">
      <c r="A888" s="207"/>
      <c r="B888" s="207"/>
      <c r="C888" s="207"/>
      <c r="D888" s="207"/>
      <c r="E888" s="207"/>
      <c r="F888" s="207"/>
    </row>
    <row r="889" spans="1:6" hidden="1" x14ac:dyDescent="0.4">
      <c r="A889" s="207"/>
      <c r="B889" s="207"/>
      <c r="C889" s="207"/>
      <c r="D889" s="207"/>
      <c r="E889" s="207"/>
      <c r="F889" s="207"/>
    </row>
    <row r="890" spans="1:6" hidden="1" x14ac:dyDescent="0.4">
      <c r="A890" s="207"/>
      <c r="B890" s="207"/>
      <c r="C890" s="207"/>
      <c r="D890" s="207"/>
      <c r="E890" s="207"/>
      <c r="F890" s="207"/>
    </row>
    <row r="891" spans="1:6" hidden="1" x14ac:dyDescent="0.4">
      <c r="A891" s="207"/>
      <c r="B891" s="207"/>
      <c r="C891" s="207"/>
      <c r="D891" s="207"/>
      <c r="E891" s="207"/>
      <c r="F891" s="207"/>
    </row>
    <row r="892" spans="1:6" hidden="1" x14ac:dyDescent="0.4">
      <c r="A892" s="207"/>
      <c r="B892" s="207"/>
      <c r="C892" s="207"/>
      <c r="D892" s="207"/>
      <c r="E892" s="207"/>
      <c r="F892" s="207"/>
    </row>
    <row r="893" spans="1:6" hidden="1" x14ac:dyDescent="0.4">
      <c r="A893" s="207"/>
      <c r="B893" s="207"/>
      <c r="C893" s="207"/>
      <c r="D893" s="207"/>
      <c r="E893" s="207"/>
      <c r="F893" s="207"/>
    </row>
    <row r="894" spans="1:6" hidden="1" x14ac:dyDescent="0.4">
      <c r="A894" s="207"/>
      <c r="B894" s="207"/>
      <c r="C894" s="207"/>
      <c r="D894" s="207"/>
      <c r="E894" s="207"/>
      <c r="F894" s="207"/>
    </row>
    <row r="895" spans="1:6" hidden="1" x14ac:dyDescent="0.4">
      <c r="A895" s="207"/>
      <c r="B895" s="207"/>
      <c r="C895" s="207"/>
      <c r="D895" s="207"/>
      <c r="E895" s="207"/>
      <c r="F895" s="207"/>
    </row>
    <row r="896" spans="1:6" hidden="1" x14ac:dyDescent="0.4">
      <c r="A896" s="207"/>
      <c r="B896" s="207"/>
      <c r="C896" s="207"/>
      <c r="D896" s="207"/>
      <c r="E896" s="207"/>
      <c r="F896" s="207"/>
    </row>
    <row r="897" spans="1:6" hidden="1" x14ac:dyDescent="0.4">
      <c r="A897" s="207"/>
      <c r="B897" s="207"/>
      <c r="C897" s="207"/>
      <c r="D897" s="207"/>
      <c r="E897" s="207"/>
      <c r="F897" s="207"/>
    </row>
    <row r="898" spans="1:6" hidden="1" x14ac:dyDescent="0.4">
      <c r="A898" s="207"/>
      <c r="B898" s="207"/>
      <c r="C898" s="207"/>
      <c r="D898" s="207"/>
      <c r="E898" s="207"/>
      <c r="F898" s="207"/>
    </row>
    <row r="899" spans="1:6" hidden="1" x14ac:dyDescent="0.4">
      <c r="A899" s="207"/>
      <c r="B899" s="207"/>
      <c r="C899" s="207"/>
      <c r="D899" s="207"/>
      <c r="E899" s="207"/>
      <c r="F899" s="207"/>
    </row>
    <row r="900" spans="1:6" hidden="1" x14ac:dyDescent="0.4">
      <c r="A900" s="207"/>
      <c r="B900" s="207"/>
      <c r="C900" s="207"/>
      <c r="D900" s="207"/>
      <c r="E900" s="207"/>
      <c r="F900" s="207"/>
    </row>
    <row r="901" spans="1:6" hidden="1" x14ac:dyDescent="0.4">
      <c r="A901" s="207"/>
      <c r="B901" s="207"/>
      <c r="C901" s="207"/>
      <c r="D901" s="207"/>
      <c r="E901" s="207"/>
      <c r="F901" s="207"/>
    </row>
    <row r="902" spans="1:6" hidden="1" x14ac:dyDescent="0.4">
      <c r="A902" s="207"/>
      <c r="B902" s="207"/>
      <c r="C902" s="207"/>
      <c r="D902" s="207"/>
      <c r="E902" s="207"/>
      <c r="F902" s="207"/>
    </row>
    <row r="903" spans="1:6" hidden="1" x14ac:dyDescent="0.4">
      <c r="A903" s="207"/>
      <c r="B903" s="207"/>
      <c r="C903" s="207"/>
      <c r="D903" s="207"/>
      <c r="E903" s="207"/>
      <c r="F903" s="207"/>
    </row>
    <row r="904" spans="1:6" hidden="1" x14ac:dyDescent="0.4">
      <c r="A904" s="207"/>
      <c r="B904" s="207"/>
      <c r="C904" s="207"/>
      <c r="D904" s="207"/>
      <c r="E904" s="207"/>
      <c r="F904" s="207"/>
    </row>
    <row r="905" spans="1:6" hidden="1" x14ac:dyDescent="0.4">
      <c r="A905" s="207"/>
      <c r="B905" s="207"/>
      <c r="C905" s="207"/>
      <c r="D905" s="207"/>
      <c r="E905" s="207"/>
      <c r="F905" s="207"/>
    </row>
    <row r="906" spans="1:6" hidden="1" x14ac:dyDescent="0.4">
      <c r="A906" s="207"/>
      <c r="B906" s="207"/>
      <c r="C906" s="207"/>
      <c r="D906" s="207"/>
      <c r="E906" s="207"/>
      <c r="F906" s="207"/>
    </row>
    <row r="907" spans="1:6" hidden="1" x14ac:dyDescent="0.4">
      <c r="A907" s="207"/>
      <c r="B907" s="207"/>
      <c r="C907" s="207"/>
      <c r="D907" s="207"/>
      <c r="E907" s="207"/>
      <c r="F907" s="207"/>
    </row>
    <row r="908" spans="1:6" hidden="1" x14ac:dyDescent="0.4">
      <c r="A908" s="207"/>
      <c r="B908" s="207"/>
      <c r="C908" s="207"/>
      <c r="D908" s="207"/>
      <c r="E908" s="207"/>
      <c r="F908" s="207"/>
    </row>
    <row r="909" spans="1:6" hidden="1" x14ac:dyDescent="0.4">
      <c r="A909" s="207"/>
      <c r="B909" s="207"/>
      <c r="C909" s="207"/>
      <c r="D909" s="207"/>
      <c r="E909" s="207"/>
      <c r="F909" s="207"/>
    </row>
    <row r="910" spans="1:6" hidden="1" x14ac:dyDescent="0.4">
      <c r="A910" s="207"/>
      <c r="B910" s="207"/>
      <c r="C910" s="207"/>
      <c r="D910" s="207"/>
      <c r="E910" s="207"/>
      <c r="F910" s="207"/>
    </row>
    <row r="911" spans="1:6" hidden="1" x14ac:dyDescent="0.4">
      <c r="A911" s="207"/>
      <c r="B911" s="207"/>
      <c r="C911" s="207"/>
      <c r="D911" s="207"/>
      <c r="E911" s="207"/>
      <c r="F911" s="207"/>
    </row>
    <row r="912" spans="1:6" hidden="1" x14ac:dyDescent="0.4">
      <c r="A912" s="207"/>
      <c r="B912" s="207"/>
      <c r="C912" s="207"/>
      <c r="D912" s="207"/>
      <c r="E912" s="207"/>
      <c r="F912" s="207"/>
    </row>
    <row r="913" spans="1:6" hidden="1" x14ac:dyDescent="0.4">
      <c r="A913" s="207"/>
      <c r="B913" s="207"/>
      <c r="C913" s="207"/>
      <c r="D913" s="207"/>
      <c r="E913" s="207"/>
      <c r="F913" s="207"/>
    </row>
    <row r="914" spans="1:6" hidden="1" x14ac:dyDescent="0.4">
      <c r="A914" s="207"/>
      <c r="B914" s="207"/>
      <c r="C914" s="207"/>
      <c r="D914" s="207"/>
      <c r="E914" s="207"/>
      <c r="F914" s="207"/>
    </row>
    <row r="915" spans="1:6" hidden="1" x14ac:dyDescent="0.4">
      <c r="A915" s="207"/>
      <c r="B915" s="207"/>
      <c r="C915" s="207"/>
      <c r="D915" s="207"/>
      <c r="E915" s="207"/>
      <c r="F915" s="207"/>
    </row>
    <row r="916" spans="1:6" hidden="1" x14ac:dyDescent="0.4">
      <c r="A916" s="207"/>
      <c r="B916" s="207"/>
      <c r="C916" s="207"/>
      <c r="D916" s="207"/>
      <c r="E916" s="207"/>
      <c r="F916" s="207"/>
    </row>
    <row r="917" spans="1:6" hidden="1" x14ac:dyDescent="0.4">
      <c r="A917" s="207"/>
      <c r="B917" s="207"/>
      <c r="C917" s="207"/>
      <c r="D917" s="207"/>
      <c r="E917" s="207"/>
      <c r="F917" s="207"/>
    </row>
    <row r="918" spans="1:6" hidden="1" x14ac:dyDescent="0.4">
      <c r="A918" s="207"/>
      <c r="B918" s="207"/>
      <c r="C918" s="207"/>
      <c r="D918" s="207"/>
      <c r="E918" s="207"/>
      <c r="F918" s="207"/>
    </row>
    <row r="919" spans="1:6" hidden="1" x14ac:dyDescent="0.4">
      <c r="A919" s="207"/>
      <c r="B919" s="207"/>
      <c r="C919" s="207"/>
      <c r="D919" s="207"/>
      <c r="E919" s="207"/>
      <c r="F919" s="207"/>
    </row>
    <row r="920" spans="1:6" hidden="1" x14ac:dyDescent="0.4">
      <c r="A920" s="207"/>
      <c r="B920" s="207"/>
      <c r="C920" s="207"/>
      <c r="D920" s="207"/>
      <c r="E920" s="207"/>
      <c r="F920" s="207"/>
    </row>
    <row r="921" spans="1:6" hidden="1" x14ac:dyDescent="0.4">
      <c r="A921" s="207"/>
      <c r="B921" s="207"/>
      <c r="C921" s="207"/>
      <c r="D921" s="207"/>
      <c r="E921" s="207"/>
      <c r="F921" s="207"/>
    </row>
    <row r="922" spans="1:6" hidden="1" x14ac:dyDescent="0.4">
      <c r="A922" s="207"/>
      <c r="B922" s="207"/>
      <c r="C922" s="207"/>
      <c r="D922" s="207"/>
      <c r="E922" s="207"/>
      <c r="F922" s="207"/>
    </row>
    <row r="923" spans="1:6" hidden="1" x14ac:dyDescent="0.4">
      <c r="A923" s="207"/>
      <c r="B923" s="207"/>
      <c r="C923" s="207"/>
      <c r="D923" s="207"/>
      <c r="E923" s="207"/>
      <c r="F923" s="207"/>
    </row>
    <row r="924" spans="1:6" hidden="1" x14ac:dyDescent="0.4">
      <c r="A924" s="207"/>
      <c r="B924" s="207"/>
      <c r="C924" s="207"/>
      <c r="D924" s="207"/>
      <c r="E924" s="207"/>
      <c r="F924" s="207"/>
    </row>
    <row r="925" spans="1:6" hidden="1" x14ac:dyDescent="0.4">
      <c r="A925" s="207"/>
      <c r="B925" s="207"/>
      <c r="C925" s="207"/>
      <c r="D925" s="207"/>
      <c r="E925" s="207"/>
      <c r="F925" s="207"/>
    </row>
    <row r="926" spans="1:6" hidden="1" x14ac:dyDescent="0.4">
      <c r="A926" s="207"/>
      <c r="B926" s="207"/>
      <c r="C926" s="207"/>
      <c r="D926" s="207"/>
      <c r="E926" s="207"/>
      <c r="F926" s="207"/>
    </row>
    <row r="927" spans="1:6" hidden="1" x14ac:dyDescent="0.4">
      <c r="A927" s="207"/>
      <c r="B927" s="207"/>
      <c r="C927" s="207"/>
      <c r="D927" s="207"/>
      <c r="E927" s="207"/>
      <c r="F927" s="207"/>
    </row>
    <row r="928" spans="1:6" hidden="1" x14ac:dyDescent="0.4">
      <c r="A928" s="207"/>
      <c r="B928" s="207"/>
      <c r="C928" s="207"/>
      <c r="D928" s="207"/>
      <c r="E928" s="207"/>
      <c r="F928" s="207"/>
    </row>
    <row r="929" spans="1:6" hidden="1" x14ac:dyDescent="0.4">
      <c r="A929" s="207"/>
      <c r="B929" s="207"/>
      <c r="C929" s="207"/>
      <c r="D929" s="207"/>
      <c r="E929" s="207"/>
      <c r="F929" s="207"/>
    </row>
    <row r="930" spans="1:6" hidden="1" x14ac:dyDescent="0.4">
      <c r="A930" s="207"/>
      <c r="B930" s="207"/>
      <c r="C930" s="207"/>
      <c r="D930" s="207"/>
      <c r="E930" s="207"/>
      <c r="F930" s="207"/>
    </row>
    <row r="931" spans="1:6" hidden="1" x14ac:dyDescent="0.4">
      <c r="A931" s="207"/>
      <c r="B931" s="207"/>
      <c r="C931" s="207"/>
      <c r="D931" s="207"/>
      <c r="E931" s="207"/>
      <c r="F931" s="207"/>
    </row>
    <row r="932" spans="1:6" hidden="1" x14ac:dyDescent="0.4">
      <c r="A932" s="207"/>
      <c r="B932" s="207"/>
      <c r="C932" s="207"/>
      <c r="D932" s="207"/>
      <c r="E932" s="207"/>
      <c r="F932" s="207"/>
    </row>
    <row r="933" spans="1:6" hidden="1" x14ac:dyDescent="0.4">
      <c r="A933" s="207"/>
      <c r="B933" s="207"/>
      <c r="C933" s="207"/>
      <c r="D933" s="207"/>
      <c r="E933" s="207"/>
      <c r="F933" s="207"/>
    </row>
    <row r="934" spans="1:6" hidden="1" x14ac:dyDescent="0.4">
      <c r="A934" s="207"/>
      <c r="B934" s="207"/>
      <c r="C934" s="207"/>
      <c r="D934" s="207"/>
      <c r="E934" s="207"/>
      <c r="F934" s="207"/>
    </row>
    <row r="935" spans="1:6" hidden="1" x14ac:dyDescent="0.4">
      <c r="A935" s="207"/>
      <c r="B935" s="207"/>
      <c r="C935" s="207"/>
      <c r="D935" s="207"/>
      <c r="E935" s="207"/>
      <c r="F935" s="207"/>
    </row>
    <row r="936" spans="1:6" hidden="1" x14ac:dyDescent="0.4">
      <c r="A936" s="207"/>
      <c r="B936" s="207"/>
      <c r="C936" s="207"/>
      <c r="D936" s="207"/>
      <c r="E936" s="207"/>
      <c r="F936" s="207"/>
    </row>
    <row r="937" spans="1:6" hidden="1" x14ac:dyDescent="0.4">
      <c r="A937" s="207"/>
      <c r="B937" s="207"/>
      <c r="C937" s="207"/>
      <c r="D937" s="207"/>
      <c r="E937" s="207"/>
      <c r="F937" s="207"/>
    </row>
    <row r="938" spans="1:6" hidden="1" x14ac:dyDescent="0.4">
      <c r="A938" s="207"/>
      <c r="B938" s="207"/>
      <c r="C938" s="207"/>
      <c r="D938" s="207"/>
      <c r="E938" s="207"/>
      <c r="F938" s="207"/>
    </row>
    <row r="939" spans="1:6" hidden="1" x14ac:dyDescent="0.4">
      <c r="A939" s="207"/>
      <c r="B939" s="207"/>
      <c r="C939" s="207"/>
      <c r="D939" s="207"/>
      <c r="E939" s="207"/>
      <c r="F939" s="207"/>
    </row>
    <row r="940" spans="1:6" hidden="1" x14ac:dyDescent="0.4">
      <c r="A940" s="207"/>
      <c r="B940" s="207"/>
      <c r="C940" s="207"/>
      <c r="D940" s="207"/>
      <c r="E940" s="207"/>
      <c r="F940" s="207"/>
    </row>
    <row r="941" spans="1:6" hidden="1" x14ac:dyDescent="0.4">
      <c r="A941" s="207"/>
      <c r="B941" s="207"/>
      <c r="C941" s="207"/>
      <c r="D941" s="207"/>
      <c r="E941" s="207"/>
      <c r="F941" s="207"/>
    </row>
    <row r="942" spans="1:6" hidden="1" x14ac:dyDescent="0.4">
      <c r="A942" s="207"/>
      <c r="B942" s="207"/>
      <c r="C942" s="207"/>
      <c r="D942" s="207"/>
      <c r="E942" s="207"/>
      <c r="F942" s="207"/>
    </row>
    <row r="943" spans="1:6" hidden="1" x14ac:dyDescent="0.4">
      <c r="A943" s="207"/>
      <c r="B943" s="207"/>
      <c r="C943" s="207"/>
      <c r="D943" s="207"/>
      <c r="E943" s="207"/>
      <c r="F943" s="207"/>
    </row>
    <row r="944" spans="1:6" hidden="1" x14ac:dyDescent="0.4">
      <c r="A944" s="207"/>
      <c r="B944" s="207"/>
      <c r="C944" s="207"/>
      <c r="D944" s="207"/>
      <c r="E944" s="207"/>
      <c r="F944" s="207"/>
    </row>
    <row r="945" spans="1:6" hidden="1" x14ac:dyDescent="0.4">
      <c r="A945" s="207"/>
      <c r="B945" s="207"/>
      <c r="C945" s="207"/>
      <c r="D945" s="207"/>
      <c r="E945" s="207"/>
      <c r="F945" s="207"/>
    </row>
    <row r="946" spans="1:6" hidden="1" x14ac:dyDescent="0.4">
      <c r="A946" s="207"/>
      <c r="B946" s="207"/>
      <c r="C946" s="207"/>
      <c r="D946" s="207"/>
      <c r="E946" s="207"/>
      <c r="F946" s="207"/>
    </row>
    <row r="947" spans="1:6" hidden="1" x14ac:dyDescent="0.4">
      <c r="A947" s="207"/>
      <c r="B947" s="207"/>
      <c r="C947" s="207"/>
      <c r="D947" s="207"/>
      <c r="E947" s="207"/>
      <c r="F947" s="207"/>
    </row>
    <row r="948" spans="1:6" hidden="1" x14ac:dyDescent="0.4">
      <c r="A948" s="207"/>
      <c r="B948" s="207"/>
      <c r="C948" s="207"/>
      <c r="D948" s="207"/>
      <c r="E948" s="207"/>
      <c r="F948" s="207"/>
    </row>
    <row r="949" spans="1:6" hidden="1" x14ac:dyDescent="0.4">
      <c r="A949" s="207"/>
      <c r="B949" s="207"/>
      <c r="C949" s="207"/>
      <c r="D949" s="207"/>
      <c r="E949" s="207"/>
      <c r="F949" s="207"/>
    </row>
    <row r="950" spans="1:6" hidden="1" x14ac:dyDescent="0.4">
      <c r="A950" s="207"/>
      <c r="B950" s="207"/>
      <c r="C950" s="207"/>
      <c r="D950" s="207"/>
      <c r="E950" s="207"/>
      <c r="F950" s="207"/>
    </row>
    <row r="951" spans="1:6" hidden="1" x14ac:dyDescent="0.4">
      <c r="A951" s="207"/>
      <c r="B951" s="207"/>
      <c r="C951" s="207"/>
      <c r="D951" s="207"/>
      <c r="E951" s="207"/>
      <c r="F951" s="207"/>
    </row>
    <row r="952" spans="1:6" hidden="1" x14ac:dyDescent="0.4">
      <c r="A952" s="207"/>
      <c r="B952" s="207"/>
      <c r="C952" s="207"/>
      <c r="D952" s="207"/>
      <c r="E952" s="207"/>
      <c r="F952" s="207"/>
    </row>
    <row r="953" spans="1:6" hidden="1" x14ac:dyDescent="0.4">
      <c r="A953" s="207"/>
      <c r="B953" s="207"/>
      <c r="C953" s="207"/>
      <c r="D953" s="207"/>
      <c r="E953" s="207"/>
      <c r="F953" s="207"/>
    </row>
    <row r="954" spans="1:6" hidden="1" x14ac:dyDescent="0.4">
      <c r="A954" s="207"/>
      <c r="B954" s="207"/>
      <c r="C954" s="207"/>
      <c r="D954" s="207"/>
      <c r="E954" s="207"/>
      <c r="F954" s="207"/>
    </row>
    <row r="955" spans="1:6" hidden="1" x14ac:dyDescent="0.4">
      <c r="A955" s="207"/>
      <c r="B955" s="207"/>
      <c r="C955" s="207"/>
      <c r="D955" s="207"/>
      <c r="E955" s="207"/>
      <c r="F955" s="207"/>
    </row>
    <row r="956" spans="1:6" hidden="1" x14ac:dyDescent="0.4">
      <c r="A956" s="207"/>
      <c r="B956" s="207"/>
      <c r="C956" s="207"/>
      <c r="D956" s="207"/>
      <c r="E956" s="207"/>
      <c r="F956" s="207"/>
    </row>
    <row r="957" spans="1:6" hidden="1" x14ac:dyDescent="0.4">
      <c r="A957" s="207"/>
      <c r="B957" s="207"/>
      <c r="C957" s="207"/>
      <c r="D957" s="207"/>
      <c r="E957" s="207"/>
      <c r="F957" s="207"/>
    </row>
    <row r="958" spans="1:6" hidden="1" x14ac:dyDescent="0.4">
      <c r="A958" s="207"/>
      <c r="B958" s="207"/>
      <c r="C958" s="207"/>
      <c r="D958" s="207"/>
      <c r="E958" s="207"/>
      <c r="F958" s="207"/>
    </row>
    <row r="959" spans="1:6" hidden="1" x14ac:dyDescent="0.4">
      <c r="A959" s="207"/>
      <c r="B959" s="207"/>
      <c r="C959" s="207"/>
      <c r="D959" s="207"/>
      <c r="E959" s="207"/>
      <c r="F959" s="207"/>
    </row>
    <row r="960" spans="1:6" hidden="1" x14ac:dyDescent="0.4">
      <c r="A960" s="207"/>
      <c r="B960" s="207"/>
      <c r="C960" s="207"/>
      <c r="D960" s="207"/>
      <c r="E960" s="207"/>
      <c r="F960" s="207"/>
    </row>
    <row r="961" spans="1:6" hidden="1" x14ac:dyDescent="0.4">
      <c r="A961" s="207"/>
      <c r="B961" s="207"/>
      <c r="C961" s="207"/>
      <c r="D961" s="207"/>
      <c r="E961" s="207"/>
      <c r="F961" s="207"/>
    </row>
    <row r="962" spans="1:6" hidden="1" x14ac:dyDescent="0.4">
      <c r="A962" s="207"/>
      <c r="B962" s="207"/>
      <c r="C962" s="207"/>
      <c r="D962" s="207"/>
      <c r="E962" s="207"/>
      <c r="F962" s="207"/>
    </row>
    <row r="963" spans="1:6" hidden="1" x14ac:dyDescent="0.4">
      <c r="A963" s="207"/>
      <c r="B963" s="207"/>
      <c r="C963" s="207"/>
      <c r="D963" s="207"/>
      <c r="E963" s="207"/>
      <c r="F963" s="207"/>
    </row>
    <row r="964" spans="1:6" hidden="1" x14ac:dyDescent="0.4">
      <c r="A964" s="207"/>
      <c r="B964" s="207"/>
      <c r="C964" s="207"/>
      <c r="D964" s="207"/>
      <c r="E964" s="207"/>
      <c r="F964" s="207"/>
    </row>
    <row r="965" spans="1:6" hidden="1" x14ac:dyDescent="0.4">
      <c r="A965" s="207"/>
      <c r="B965" s="207"/>
      <c r="C965" s="207"/>
      <c r="D965" s="207"/>
      <c r="E965" s="207"/>
      <c r="F965" s="207"/>
    </row>
    <row r="966" spans="1:6" hidden="1" x14ac:dyDescent="0.4">
      <c r="A966" s="207"/>
      <c r="B966" s="207"/>
      <c r="C966" s="207"/>
      <c r="D966" s="207"/>
      <c r="E966" s="207"/>
      <c r="F966" s="207"/>
    </row>
    <row r="967" spans="1:6" hidden="1" x14ac:dyDescent="0.4">
      <c r="A967" s="207"/>
      <c r="B967" s="207"/>
      <c r="C967" s="207"/>
      <c r="D967" s="207"/>
      <c r="E967" s="207"/>
      <c r="F967" s="207"/>
    </row>
    <row r="968" spans="1:6" hidden="1" x14ac:dyDescent="0.4">
      <c r="A968" s="207"/>
      <c r="B968" s="207"/>
      <c r="C968" s="207"/>
      <c r="D968" s="207"/>
      <c r="E968" s="207"/>
      <c r="F968" s="207"/>
    </row>
    <row r="969" spans="1:6" hidden="1" x14ac:dyDescent="0.4">
      <c r="A969" s="207"/>
      <c r="B969" s="207"/>
      <c r="C969" s="207"/>
      <c r="D969" s="207"/>
      <c r="E969" s="207"/>
      <c r="F969" s="207"/>
    </row>
    <row r="970" spans="1:6" hidden="1" x14ac:dyDescent="0.4">
      <c r="A970" s="207"/>
      <c r="B970" s="207"/>
      <c r="C970" s="207"/>
      <c r="D970" s="207"/>
      <c r="E970" s="207"/>
      <c r="F970" s="207"/>
    </row>
    <row r="971" spans="1:6" hidden="1" x14ac:dyDescent="0.4">
      <c r="A971" s="207"/>
      <c r="B971" s="207"/>
      <c r="C971" s="207"/>
      <c r="D971" s="207"/>
      <c r="E971" s="207"/>
      <c r="F971" s="207"/>
    </row>
    <row r="972" spans="1:6" hidden="1" x14ac:dyDescent="0.4">
      <c r="A972" s="207"/>
      <c r="B972" s="207"/>
      <c r="C972" s="207"/>
      <c r="D972" s="207"/>
      <c r="E972" s="207"/>
      <c r="F972" s="207"/>
    </row>
    <row r="973" spans="1:6" hidden="1" x14ac:dyDescent="0.4">
      <c r="A973" s="207"/>
      <c r="B973" s="207"/>
      <c r="C973" s="207"/>
      <c r="D973" s="207"/>
      <c r="E973" s="207"/>
      <c r="F973" s="207"/>
    </row>
    <row r="974" spans="1:6" hidden="1" x14ac:dyDescent="0.4">
      <c r="A974" s="207"/>
      <c r="B974" s="207"/>
      <c r="C974" s="207"/>
      <c r="D974" s="207"/>
      <c r="E974" s="207"/>
      <c r="F974" s="207"/>
    </row>
    <row r="975" spans="1:6" hidden="1" x14ac:dyDescent="0.4">
      <c r="A975" s="207"/>
      <c r="B975" s="207"/>
      <c r="C975" s="207"/>
      <c r="D975" s="207"/>
      <c r="E975" s="207"/>
      <c r="F975" s="207"/>
    </row>
    <row r="976" spans="1:6" hidden="1" x14ac:dyDescent="0.4">
      <c r="A976" s="207"/>
      <c r="B976" s="207"/>
      <c r="C976" s="207"/>
      <c r="D976" s="207"/>
      <c r="E976" s="207"/>
      <c r="F976" s="207"/>
    </row>
    <row r="977" spans="1:6" hidden="1" x14ac:dyDescent="0.4">
      <c r="A977" s="207"/>
      <c r="B977" s="207"/>
      <c r="C977" s="207"/>
      <c r="D977" s="207"/>
      <c r="E977" s="207"/>
      <c r="F977" s="207"/>
    </row>
    <row r="978" spans="1:6" hidden="1" x14ac:dyDescent="0.4">
      <c r="A978" s="207"/>
      <c r="B978" s="207"/>
      <c r="C978" s="207"/>
      <c r="D978" s="207"/>
      <c r="E978" s="207"/>
      <c r="F978" s="207"/>
    </row>
    <row r="979" spans="1:6" hidden="1" x14ac:dyDescent="0.4">
      <c r="A979" s="207"/>
      <c r="B979" s="207"/>
      <c r="C979" s="207"/>
      <c r="D979" s="207"/>
      <c r="E979" s="207"/>
      <c r="F979" s="207"/>
    </row>
    <row r="980" spans="1:6" hidden="1" x14ac:dyDescent="0.4">
      <c r="A980" s="207"/>
      <c r="B980" s="207"/>
      <c r="C980" s="207"/>
      <c r="D980" s="207"/>
      <c r="E980" s="207"/>
      <c r="F980" s="207"/>
    </row>
    <row r="981" spans="1:6" hidden="1" x14ac:dyDescent="0.4">
      <c r="A981" s="207"/>
      <c r="B981" s="207"/>
      <c r="C981" s="207"/>
      <c r="D981" s="207"/>
      <c r="E981" s="207"/>
      <c r="F981" s="207"/>
    </row>
    <row r="982" spans="1:6" hidden="1" x14ac:dyDescent="0.4">
      <c r="A982" s="207"/>
      <c r="B982" s="207"/>
      <c r="C982" s="207"/>
      <c r="D982" s="207"/>
      <c r="E982" s="207"/>
      <c r="F982" s="207"/>
    </row>
    <row r="983" spans="1:6" hidden="1" x14ac:dyDescent="0.4">
      <c r="A983" s="207"/>
      <c r="B983" s="207"/>
      <c r="C983" s="207"/>
      <c r="D983" s="207"/>
      <c r="E983" s="207"/>
      <c r="F983" s="207"/>
    </row>
    <row r="984" spans="1:6" hidden="1" x14ac:dyDescent="0.4">
      <c r="A984" s="207"/>
      <c r="B984" s="207"/>
      <c r="C984" s="207"/>
      <c r="D984" s="207"/>
      <c r="E984" s="207"/>
      <c r="F984" s="207"/>
    </row>
    <row r="985" spans="1:6" hidden="1" x14ac:dyDescent="0.4">
      <c r="A985" s="207"/>
      <c r="B985" s="207"/>
      <c r="C985" s="207"/>
      <c r="D985" s="207"/>
      <c r="E985" s="207"/>
      <c r="F985" s="207"/>
    </row>
    <row r="986" spans="1:6" hidden="1" x14ac:dyDescent="0.4">
      <c r="A986" s="207"/>
      <c r="B986" s="207"/>
      <c r="C986" s="207"/>
      <c r="D986" s="207"/>
      <c r="E986" s="207"/>
      <c r="F986" s="207"/>
    </row>
    <row r="987" spans="1:6" hidden="1" x14ac:dyDescent="0.4">
      <c r="A987" s="207"/>
      <c r="B987" s="207"/>
      <c r="C987" s="207"/>
      <c r="D987" s="207"/>
      <c r="E987" s="207"/>
      <c r="F987" s="207"/>
    </row>
    <row r="988" spans="1:6" hidden="1" x14ac:dyDescent="0.4">
      <c r="A988" s="207"/>
      <c r="B988" s="207"/>
      <c r="C988" s="207"/>
      <c r="D988" s="207"/>
      <c r="E988" s="207"/>
      <c r="F988" s="207"/>
    </row>
    <row r="989" spans="1:6" hidden="1" x14ac:dyDescent="0.4">
      <c r="A989" s="207"/>
      <c r="B989" s="207"/>
      <c r="C989" s="207"/>
      <c r="D989" s="207"/>
      <c r="E989" s="207"/>
      <c r="F989" s="207"/>
    </row>
    <row r="990" spans="1:6" ht="3.75" hidden="1" customHeight="1" x14ac:dyDescent="0.4">
      <c r="A990" s="207"/>
      <c r="B990" s="207"/>
      <c r="C990" s="207"/>
      <c r="D990" s="207"/>
      <c r="E990" s="207"/>
      <c r="F990" s="207"/>
    </row>
    <row r="991" spans="1:6" hidden="1" x14ac:dyDescent="0.4">
      <c r="A991" s="207"/>
      <c r="B991" s="207"/>
      <c r="C991" s="207"/>
      <c r="D991" s="207"/>
      <c r="E991" s="207"/>
      <c r="F991" s="207"/>
    </row>
  </sheetData>
  <sheetProtection sheet="1" objects="1" scenarios="1"/>
  <mergeCells count="6">
    <mergeCell ref="C14:C15"/>
    <mergeCell ref="A68:C80"/>
    <mergeCell ref="A14:A15"/>
    <mergeCell ref="A9:A10"/>
    <mergeCell ref="C9:C10"/>
    <mergeCell ref="A64:C66"/>
  </mergeCells>
  <dataValidations count="7">
    <dataValidation errorStyle="information" showErrorMessage="1" error="u dient een percentage van 0% tot 100% in te geven" prompt="kies een waarde van 0% tot 100%" sqref="B10" xr:uid="{6F517244-CE7E-464D-BADF-A5333129202E}"/>
    <dataValidation type="list" errorStyle="information" allowBlank="1" showErrorMessage="1" error="u dient een percentage van 0% tot 100% in te geven" prompt="kies een waarde van 0% tot 100%" sqref="B9" xr:uid="{2D46BDD4-B235-49D4-B9D2-82E3DC428B04}">
      <formula1>"Ja, Nee"</formula1>
    </dataValidation>
    <dataValidation type="decimal" errorStyle="information" allowBlank="1" showErrorMessage="1" error="u dient een percentage van 0% tot 100% in te geven" prompt="kies een waarde van 0% tot 100%" sqref="B13 B11 B8 B7 B6" xr:uid="{03DEBD69-A5C8-4051-8AA3-561899B790CF}">
      <formula1>0</formula1>
      <formula2>1</formula2>
    </dataValidation>
    <dataValidation type="list" errorStyle="information" allowBlank="1" showErrorMessage="1" error="u dient een percentage van 0% tot 100% in te geven" prompt="Indien de gekozen branche " sqref="B14" xr:uid="{2E825DF3-5ED6-41B9-AEB4-BED730D42917}">
      <formula1>"Ja, Nee"</formula1>
    </dataValidation>
    <dataValidation allowBlank="1" showInputMessage="1" showErrorMessage="1" prompt="Vul een +/- correctie als percentage in" sqref="C24 C25 C26 C28 C29 C30 C31 C33" xr:uid="{7817EC11-97A7-4FAA-9ABF-C25C9AD108EE}"/>
    <dataValidation allowBlank="1" showErrorMessage="1" prompt="Vul een +/- correctie als percentage in" sqref="C41 C32" xr:uid="{05B64F7F-6D85-4092-9B6A-B404789FBDBF}"/>
    <dataValidation errorStyle="information" allowBlank="1" showErrorMessage="1" error="u dient een percentage van 0% tot 100% in te geven" prompt="kies een waarde van 0% tot 100%" sqref="B18:B40" xr:uid="{00000000-0002-0000-0400-000000000000}"/>
  </dataValidations>
  <hyperlinks>
    <hyperlink ref="A67" r:id="rId1" xr:uid="{F3A8F5BB-B747-4BEE-B4D3-F17F5350AC27}"/>
  </hyperlinks>
  <pageMargins left="0.7" right="0.7" top="0.75" bottom="0.75" header="0.3" footer="0.3"/>
  <pageSetup paperSize="9" orientation="landscape" r:id="rId2"/>
  <customProperties>
    <customPr name="OrphanNamesChecked" r:id="rId3"/>
  </customProperties>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03BDFEDD-A31A-4F23-9902-D36F1A662FE0}">
          <x14:formula1>
            <xm:f>'Keu - Branche'!$A$2:$A$12</xm:f>
          </x14:formula1>
          <xm:sqref>C4</xm:sqref>
        </x14:dataValidation>
        <x14:dataValidation type="list" allowBlank="1" showInputMessage="1" showErrorMessage="1" xr:uid="{7A0E97C3-206E-49A1-A198-A015B4740D1F}">
          <x14:formula1>
            <xm:f>'Keu - OG'!$A$2:$A$3</xm:f>
          </x14:formula1>
          <xm:sqref>C5</xm:sqref>
        </x14:dataValidation>
        <x14:dataValidation type="list" allowBlank="1" showInputMessage="1" showErrorMessage="1" xr:uid="{B19AEDF3-06C5-456E-8AC5-5B28F3453928}">
          <x14:formula1>
            <xm:f>'Keu - Grootte'!$E$2:$E$12</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D99D9-4219-4C26-9102-64A6CB1678BF}">
  <sheetPr codeName="Blad15"/>
  <dimension ref="A1:D963"/>
  <sheetViews>
    <sheetView workbookViewId="0">
      <selection activeCell="C4" sqref="C4"/>
    </sheetView>
  </sheetViews>
  <sheetFormatPr defaultColWidth="0" defaultRowHeight="14.6" zeroHeight="1" x14ac:dyDescent="0.4"/>
  <cols>
    <col min="1" max="1" width="60.53515625" bestFit="1" customWidth="1"/>
    <col min="2" max="3" width="8.84375" customWidth="1"/>
    <col min="4" max="4" width="27" bestFit="1" customWidth="1"/>
  </cols>
  <sheetData>
    <row r="1" spans="1:4" x14ac:dyDescent="0.4">
      <c r="A1" s="1" t="s">
        <v>282</v>
      </c>
      <c r="B1" s="106"/>
      <c r="C1" s="106"/>
      <c r="D1" s="106"/>
    </row>
    <row r="2" spans="1:4" ht="11.25" customHeight="1" x14ac:dyDescent="0.4">
      <c r="A2" s="200"/>
      <c r="B2" s="200"/>
      <c r="C2" s="200"/>
      <c r="D2" s="200"/>
    </row>
    <row r="3" spans="1:4" ht="12" customHeight="1" x14ac:dyDescent="0.4">
      <c r="A3" s="201" t="s">
        <v>333</v>
      </c>
      <c r="B3" s="201"/>
      <c r="C3" s="201"/>
      <c r="D3" s="200"/>
    </row>
    <row r="4" spans="1:4" ht="12" customHeight="1" x14ac:dyDescent="0.4">
      <c r="A4" s="200" t="s">
        <v>334</v>
      </c>
      <c r="B4" s="207"/>
      <c r="C4" s="4">
        <v>3.5000000000000003E-2</v>
      </c>
      <c r="D4" s="202"/>
    </row>
    <row r="5" spans="1:4" ht="12" customHeight="1" x14ac:dyDescent="0.4">
      <c r="A5" s="200" t="s">
        <v>335</v>
      </c>
      <c r="B5" s="207"/>
      <c r="C5" s="4">
        <v>5.8000000000000003E-2</v>
      </c>
      <c r="D5" s="203"/>
    </row>
    <row r="6" spans="1:4" ht="12" customHeight="1" x14ac:dyDescent="0.4">
      <c r="A6" s="200" t="s">
        <v>336</v>
      </c>
      <c r="B6" s="7">
        <v>1</v>
      </c>
      <c r="C6" s="210">
        <f>2%*B6</f>
        <v>0.02</v>
      </c>
      <c r="D6" s="204" t="s">
        <v>337</v>
      </c>
    </row>
    <row r="7" spans="1:4" ht="12" customHeight="1" x14ac:dyDescent="0.4">
      <c r="A7" s="200" t="s">
        <v>338</v>
      </c>
      <c r="B7" s="7">
        <v>0.5</v>
      </c>
      <c r="C7" s="210">
        <f>B7*D7</f>
        <v>8.6999999999999994E-3</v>
      </c>
      <c r="D7" s="205">
        <v>1.7399999999999999E-2</v>
      </c>
    </row>
    <row r="8" spans="1:4" ht="12" customHeight="1" x14ac:dyDescent="0.4">
      <c r="A8" s="200" t="s">
        <v>339</v>
      </c>
      <c r="B8" s="7">
        <v>0.5</v>
      </c>
      <c r="C8" s="210">
        <f t="shared" ref="C8:C13" si="0">B8*D8</f>
        <v>6.3E-3</v>
      </c>
      <c r="D8" s="205">
        <v>1.26E-2</v>
      </c>
    </row>
    <row r="9" spans="1:4" ht="12" customHeight="1" x14ac:dyDescent="0.4">
      <c r="A9" s="200" t="s">
        <v>340</v>
      </c>
      <c r="B9" s="7">
        <v>0.5</v>
      </c>
      <c r="C9" s="210">
        <f t="shared" si="0"/>
        <v>7.8499999999999993E-3</v>
      </c>
      <c r="D9" s="205">
        <v>1.5699999999999999E-2</v>
      </c>
    </row>
    <row r="10" spans="1:4" ht="12" customHeight="1" x14ac:dyDescent="0.4">
      <c r="A10" s="200" t="s">
        <v>341</v>
      </c>
      <c r="B10" s="7">
        <v>0.5</v>
      </c>
      <c r="C10" s="210">
        <f t="shared" si="0"/>
        <v>6.3E-3</v>
      </c>
      <c r="D10" s="205">
        <v>1.26E-2</v>
      </c>
    </row>
    <row r="11" spans="1:4" ht="12" customHeight="1" x14ac:dyDescent="0.4">
      <c r="A11" s="200" t="s">
        <v>342</v>
      </c>
      <c r="B11" s="7">
        <v>0.5</v>
      </c>
      <c r="C11" s="210">
        <f t="shared" si="0"/>
        <v>4.7000000000000002E-3</v>
      </c>
      <c r="D11" s="205">
        <v>9.4000000000000004E-3</v>
      </c>
    </row>
    <row r="12" spans="1:4" ht="12" customHeight="1" x14ac:dyDescent="0.4">
      <c r="A12" s="200" t="s">
        <v>343</v>
      </c>
      <c r="B12" s="7">
        <v>0.5</v>
      </c>
      <c r="C12" s="210">
        <f t="shared" si="0"/>
        <v>6.8500000000000002E-3</v>
      </c>
      <c r="D12" s="205">
        <v>1.37E-2</v>
      </c>
    </row>
    <row r="13" spans="1:4" ht="12" customHeight="1" x14ac:dyDescent="0.4">
      <c r="A13" s="200" t="s">
        <v>344</v>
      </c>
      <c r="B13" s="7">
        <v>0.5</v>
      </c>
      <c r="C13" s="210">
        <f t="shared" si="0"/>
        <v>5.2500000000000003E-3</v>
      </c>
      <c r="D13" s="205">
        <v>1.0500000000000001E-2</v>
      </c>
    </row>
    <row r="14" spans="1:4" ht="12" customHeight="1" x14ac:dyDescent="0.4">
      <c r="A14" s="200" t="s">
        <v>345</v>
      </c>
      <c r="B14" s="210"/>
      <c r="C14" s="4">
        <v>0</v>
      </c>
      <c r="D14" s="200" t="s">
        <v>346</v>
      </c>
    </row>
    <row r="15" spans="1:4" ht="12" customHeight="1" x14ac:dyDescent="0.4">
      <c r="A15" s="200" t="s">
        <v>347</v>
      </c>
      <c r="B15" s="207"/>
      <c r="C15" s="210">
        <f>SUM(C4:C14)</f>
        <v>0.15895000000000001</v>
      </c>
      <c r="D15" s="206"/>
    </row>
    <row r="16" spans="1:4" ht="12" customHeight="1" x14ac:dyDescent="0.4">
      <c r="A16" s="200" t="s">
        <v>348</v>
      </c>
      <c r="B16" s="210"/>
      <c r="C16" s="210"/>
      <c r="D16" s="200"/>
    </row>
    <row r="17" spans="1:4" ht="12" customHeight="1" x14ac:dyDescent="0.4">
      <c r="A17" s="200"/>
      <c r="B17" s="210"/>
      <c r="C17" s="210"/>
      <c r="D17" s="200"/>
    </row>
    <row r="18" spans="1:4" ht="12" customHeight="1" x14ac:dyDescent="0.4">
      <c r="A18" s="208" t="s">
        <v>314</v>
      </c>
      <c r="B18" s="207"/>
      <c r="C18" s="207"/>
      <c r="D18" s="200"/>
    </row>
    <row r="19" spans="1:4" ht="12" customHeight="1" x14ac:dyDescent="0.4">
      <c r="A19" s="209" t="s">
        <v>315</v>
      </c>
      <c r="B19" s="207"/>
      <c r="C19" s="207"/>
      <c r="D19" s="200"/>
    </row>
    <row r="20" spans="1:4" ht="12" customHeight="1" x14ac:dyDescent="0.4">
      <c r="A20" s="209" t="s">
        <v>316</v>
      </c>
      <c r="B20" s="207"/>
      <c r="C20" s="207"/>
      <c r="D20" s="200"/>
    </row>
    <row r="21" spans="1:4" ht="12" customHeight="1" x14ac:dyDescent="0.4">
      <c r="A21" s="209" t="s">
        <v>317</v>
      </c>
      <c r="B21" s="207"/>
      <c r="C21" s="207"/>
      <c r="D21" s="200"/>
    </row>
    <row r="22" spans="1:4" ht="12" customHeight="1" x14ac:dyDescent="0.4">
      <c r="A22" s="209" t="s">
        <v>318</v>
      </c>
      <c r="B22" s="207"/>
      <c r="C22" s="207"/>
      <c r="D22" s="200"/>
    </row>
    <row r="23" spans="1:4" ht="12" customHeight="1" x14ac:dyDescent="0.4">
      <c r="A23" s="209" t="s">
        <v>319</v>
      </c>
      <c r="B23" s="207"/>
      <c r="C23" s="207"/>
      <c r="D23" s="200"/>
    </row>
    <row r="24" spans="1:4" ht="12" customHeight="1" x14ac:dyDescent="0.4">
      <c r="A24" s="209" t="s">
        <v>320</v>
      </c>
      <c r="B24" s="207"/>
      <c r="C24" s="207"/>
      <c r="D24" s="200"/>
    </row>
    <row r="25" spans="1:4" ht="12" customHeight="1" x14ac:dyDescent="0.4">
      <c r="A25" s="207"/>
      <c r="B25" s="207"/>
      <c r="C25" s="207"/>
      <c r="D25" s="207"/>
    </row>
    <row r="26" spans="1:4" ht="12" customHeight="1" x14ac:dyDescent="0.4">
      <c r="A26" s="200" t="s">
        <v>321</v>
      </c>
      <c r="B26" s="207"/>
      <c r="C26" s="4">
        <v>0.5</v>
      </c>
      <c r="D26" s="200"/>
    </row>
    <row r="27" spans="1:4" ht="12" customHeight="1" x14ac:dyDescent="0.4">
      <c r="A27" s="200" t="s">
        <v>322</v>
      </c>
      <c r="B27" s="207"/>
      <c r="C27" s="5">
        <f>1-C26</f>
        <v>0.5</v>
      </c>
      <c r="D27" s="200"/>
    </row>
    <row r="28" spans="1:4" ht="12" customHeight="1" x14ac:dyDescent="0.4">
      <c r="A28" s="200" t="s">
        <v>323</v>
      </c>
      <c r="B28" s="207"/>
      <c r="C28" s="4">
        <v>6.5000000000000002E-2</v>
      </c>
      <c r="D28" s="200"/>
    </row>
    <row r="29" spans="1:4" ht="12" customHeight="1" x14ac:dyDescent="0.4">
      <c r="A29" s="200" t="s">
        <v>324</v>
      </c>
      <c r="B29" s="207"/>
      <c r="C29" s="210">
        <f>KeuBuildUp+(KeuBuildUp-C28)*C26/C27</f>
        <v>0.25290000000000001</v>
      </c>
      <c r="D29" s="200"/>
    </row>
    <row r="30" spans="1:4" ht="12" customHeight="1" x14ac:dyDescent="0.4">
      <c r="A30" s="200" t="s">
        <v>325</v>
      </c>
      <c r="B30" s="207"/>
      <c r="C30" s="6">
        <v>0.25</v>
      </c>
      <c r="D30" s="200"/>
    </row>
    <row r="31" spans="1:4" ht="12" customHeight="1" x14ac:dyDescent="0.4">
      <c r="A31" s="200" t="s">
        <v>326</v>
      </c>
      <c r="B31" s="207"/>
      <c r="C31" s="210">
        <f>C27*C29+C26*C28*(1-C30)</f>
        <v>0.15082500000000001</v>
      </c>
      <c r="D31" s="200"/>
    </row>
    <row r="32" spans="1:4" ht="12" customHeight="1" x14ac:dyDescent="0.4">
      <c r="A32" s="200" t="s">
        <v>327</v>
      </c>
      <c r="B32" s="207"/>
      <c r="C32" s="4">
        <v>0.25</v>
      </c>
      <c r="D32" s="200"/>
    </row>
    <row r="33" spans="1:4" ht="12" customHeight="1" x14ac:dyDescent="0.4">
      <c r="A33" s="200" t="s">
        <v>328</v>
      </c>
      <c r="B33" s="207"/>
      <c r="C33" s="210">
        <f>KeuBuildUp+(KeuBuildUp-C28)*C32/(1-C32)</f>
        <v>0.19026666666666667</v>
      </c>
      <c r="D33" s="200"/>
    </row>
    <row r="34" spans="1:4" ht="12" customHeight="1" x14ac:dyDescent="0.4">
      <c r="A34" s="200" t="s">
        <v>329</v>
      </c>
      <c r="B34" s="207"/>
      <c r="C34" s="210">
        <f>(1-C32)*C33+C32*C28*(1-C30)</f>
        <v>0.15488749999999998</v>
      </c>
      <c r="D34" s="200"/>
    </row>
    <row r="35" spans="1:4" ht="12" customHeight="1" x14ac:dyDescent="0.4">
      <c r="A35" s="207"/>
      <c r="B35" s="207"/>
      <c r="C35" s="207"/>
      <c r="D35" s="207"/>
    </row>
    <row r="36" spans="1:4" x14ac:dyDescent="0.4">
      <c r="A36" s="207"/>
      <c r="B36" s="207"/>
      <c r="C36" s="207"/>
      <c r="D36" s="207"/>
    </row>
    <row r="37" spans="1:4" x14ac:dyDescent="0.4">
      <c r="A37" s="284" t="s">
        <v>349</v>
      </c>
      <c r="B37" s="285"/>
      <c r="C37" s="286"/>
      <c r="D37" s="207"/>
    </row>
    <row r="38" spans="1:4" ht="15" customHeight="1" x14ac:dyDescent="0.4">
      <c r="A38" s="287"/>
      <c r="B38" s="288"/>
      <c r="C38" s="289"/>
      <c r="D38" s="207"/>
    </row>
    <row r="39" spans="1:4" ht="15" customHeight="1" x14ac:dyDescent="0.4">
      <c r="A39" s="287"/>
      <c r="B39" s="288"/>
      <c r="C39" s="289"/>
      <c r="D39" s="207"/>
    </row>
    <row r="40" spans="1:4" ht="15" customHeight="1" x14ac:dyDescent="0.4">
      <c r="A40" s="287"/>
      <c r="B40" s="288"/>
      <c r="C40" s="289"/>
      <c r="D40" s="207"/>
    </row>
    <row r="41" spans="1:4" ht="15" customHeight="1" x14ac:dyDescent="0.4">
      <c r="A41" s="287"/>
      <c r="B41" s="288"/>
      <c r="C41" s="289"/>
      <c r="D41" s="207"/>
    </row>
    <row r="42" spans="1:4" ht="15" customHeight="1" x14ac:dyDescent="0.4">
      <c r="A42" s="287"/>
      <c r="B42" s="288"/>
      <c r="C42" s="289"/>
      <c r="D42" s="207"/>
    </row>
    <row r="43" spans="1:4" ht="15" customHeight="1" x14ac:dyDescent="0.4">
      <c r="A43" s="287"/>
      <c r="B43" s="288"/>
      <c r="C43" s="289"/>
      <c r="D43" s="207"/>
    </row>
    <row r="44" spans="1:4" ht="15" customHeight="1" x14ac:dyDescent="0.4">
      <c r="A44" s="287"/>
      <c r="B44" s="288"/>
      <c r="C44" s="289"/>
      <c r="D44" s="207"/>
    </row>
    <row r="45" spans="1:4" ht="15" customHeight="1" x14ac:dyDescent="0.4">
      <c r="A45" s="287"/>
      <c r="B45" s="288"/>
      <c r="C45" s="289"/>
      <c r="D45" s="207"/>
    </row>
    <row r="46" spans="1:4" ht="15" customHeight="1" x14ac:dyDescent="0.4">
      <c r="A46" s="290"/>
      <c r="B46" s="291"/>
      <c r="C46" s="292"/>
      <c r="D46" s="207"/>
    </row>
    <row r="47" spans="1:4" x14ac:dyDescent="0.4">
      <c r="A47" s="290"/>
      <c r="B47" s="291"/>
      <c r="C47" s="292"/>
      <c r="D47" s="207"/>
    </row>
    <row r="48" spans="1:4" x14ac:dyDescent="0.4">
      <c r="A48" s="290"/>
      <c r="B48" s="291"/>
      <c r="C48" s="292"/>
      <c r="D48" s="207"/>
    </row>
    <row r="49" spans="1:4" x14ac:dyDescent="0.4">
      <c r="A49" s="293"/>
      <c r="B49" s="294"/>
      <c r="C49" s="295"/>
      <c r="D49" s="207"/>
    </row>
    <row r="50" spans="1:4" x14ac:dyDescent="0.4">
      <c r="A50" s="207"/>
      <c r="B50" s="207"/>
      <c r="C50" s="207"/>
      <c r="D50" s="207"/>
    </row>
    <row r="51" spans="1:4" x14ac:dyDescent="0.4">
      <c r="A51" s="207"/>
      <c r="B51" s="207"/>
      <c r="C51" s="207"/>
      <c r="D51" s="207"/>
    </row>
    <row r="52" spans="1:4" x14ac:dyDescent="0.4">
      <c r="A52" s="207"/>
      <c r="B52" s="207"/>
      <c r="C52" s="207"/>
      <c r="D52" s="207"/>
    </row>
    <row r="53" spans="1:4" x14ac:dyDescent="0.4">
      <c r="A53" s="207"/>
      <c r="B53" s="207"/>
      <c r="C53" s="207"/>
      <c r="D53" s="207"/>
    </row>
    <row r="54" spans="1:4" x14ac:dyDescent="0.4">
      <c r="A54" s="207"/>
      <c r="B54" s="207"/>
      <c r="C54" s="207"/>
      <c r="D54" s="207"/>
    </row>
    <row r="55" spans="1:4" x14ac:dyDescent="0.4">
      <c r="A55" s="207"/>
      <c r="B55" s="207"/>
      <c r="C55" s="207"/>
      <c r="D55" s="207"/>
    </row>
    <row r="56" spans="1:4" x14ac:dyDescent="0.4">
      <c r="A56" s="207"/>
      <c r="B56" s="207"/>
      <c r="C56" s="207"/>
      <c r="D56" s="207"/>
    </row>
    <row r="57" spans="1:4" x14ac:dyDescent="0.4">
      <c r="A57" s="207"/>
      <c r="B57" s="207"/>
      <c r="C57" s="207"/>
      <c r="D57" s="207"/>
    </row>
    <row r="58" spans="1:4" x14ac:dyDescent="0.4">
      <c r="A58" s="207"/>
      <c r="B58" s="207"/>
      <c r="C58" s="207"/>
      <c r="D58" s="207"/>
    </row>
    <row r="963" ht="3.75" hidden="1" customHeight="1" x14ac:dyDescent="0.4"/>
  </sheetData>
  <sheetProtection sheet="1" objects="1" scenarios="1"/>
  <mergeCells count="1">
    <mergeCell ref="A37:C49"/>
  </mergeCells>
  <dataValidations count="1">
    <dataValidation type="decimal" errorStyle="information" allowBlank="1" showInputMessage="1" showErrorMessage="1" error="u dient een percentage van 0% tot 100% in te geven" prompt="kies een waarde van 0% tot 100%" sqref="B6:B13" xr:uid="{721CBE73-7760-469C-BD43-B68BC18F5937}">
      <formula1>0</formula1>
      <formula2>1</formula2>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1444-1D87-4E18-B033-E6EC56477C0E}">
  <sheetPr codeName="Blad12"/>
  <dimension ref="A1:N16"/>
  <sheetViews>
    <sheetView workbookViewId="0">
      <selection activeCell="C10" sqref="C10"/>
    </sheetView>
  </sheetViews>
  <sheetFormatPr defaultRowHeight="14.6" x14ac:dyDescent="0.4"/>
  <cols>
    <col min="1" max="1" width="28.84375" bestFit="1" customWidth="1"/>
    <col min="6" max="6" width="9" customWidth="1"/>
    <col min="12" max="12" width="15.53515625" customWidth="1"/>
  </cols>
  <sheetData>
    <row r="1" spans="1:14" ht="41.6" thickBot="1" x14ac:dyDescent="0.45">
      <c r="A1" s="165"/>
      <c r="B1" s="166" t="s">
        <v>350</v>
      </c>
      <c r="C1" s="166" t="s">
        <v>351</v>
      </c>
      <c r="D1" s="166" t="s">
        <v>352</v>
      </c>
      <c r="E1" s="166" t="s">
        <v>353</v>
      </c>
      <c r="F1" s="167" t="s">
        <v>354</v>
      </c>
      <c r="G1" s="166" t="s">
        <v>355</v>
      </c>
      <c r="H1" s="166" t="s">
        <v>356</v>
      </c>
      <c r="I1" s="166" t="s">
        <v>357</v>
      </c>
      <c r="J1" s="166" t="s">
        <v>358</v>
      </c>
      <c r="K1" s="166" t="s">
        <v>359</v>
      </c>
      <c r="L1" s="166" t="s">
        <v>360</v>
      </c>
      <c r="M1" s="166" t="s">
        <v>361</v>
      </c>
      <c r="N1" s="168" t="s">
        <v>362</v>
      </c>
    </row>
    <row r="2" spans="1:14" ht="15" thickBot="1" x14ac:dyDescent="0.45">
      <c r="A2" s="169" t="s">
        <v>363</v>
      </c>
      <c r="B2" s="170">
        <v>0.14499999999999999</v>
      </c>
      <c r="C2" s="169" t="s">
        <v>364</v>
      </c>
      <c r="D2" s="170">
        <v>0.13300000000000001</v>
      </c>
      <c r="E2" s="170">
        <v>0.15659999999999999</v>
      </c>
      <c r="F2" s="171">
        <f>E2-D2</f>
        <v>2.3599999999999982E-2</v>
      </c>
      <c r="G2" s="172">
        <v>20199050</v>
      </c>
      <c r="H2" s="172">
        <v>6286000</v>
      </c>
      <c r="I2" s="172" t="s">
        <v>365</v>
      </c>
      <c r="J2" s="172">
        <v>204260</v>
      </c>
      <c r="K2" s="172">
        <v>129300000</v>
      </c>
      <c r="L2" s="172" t="str">
        <f>TEXT(J2,"#.##0") &amp; " - " &amp; TEXT(K2,"#.##0")</f>
        <v>204.260 - 129.300.000</v>
      </c>
      <c r="M2" s="173">
        <v>17</v>
      </c>
      <c r="N2" s="174">
        <v>0.35</v>
      </c>
    </row>
    <row r="3" spans="1:14" ht="15" thickBot="1" x14ac:dyDescent="0.45">
      <c r="A3" s="175" t="s">
        <v>285</v>
      </c>
      <c r="B3" s="176">
        <v>0.1472</v>
      </c>
      <c r="C3" s="175" t="s">
        <v>364</v>
      </c>
      <c r="D3" s="177">
        <v>0.1363</v>
      </c>
      <c r="E3" s="177">
        <v>0.15809999999999999</v>
      </c>
      <c r="F3" s="171">
        <f t="shared" ref="F3:F12" si="0">E3-D3</f>
        <v>2.1799999999999986E-2</v>
      </c>
      <c r="G3" s="178">
        <v>10083160</v>
      </c>
      <c r="H3" s="178">
        <v>7282835</v>
      </c>
      <c r="I3" s="178" t="s">
        <v>366</v>
      </c>
      <c r="J3" s="178">
        <v>609000</v>
      </c>
      <c r="K3" s="178">
        <v>48115000</v>
      </c>
      <c r="L3" s="172" t="str">
        <f t="shared" ref="L3:L12" si="1">TEXT(J3,"#.##0") &amp; " - " &amp; TEXT(K3,"#.##0")</f>
        <v>609.000 - 48.115.000</v>
      </c>
      <c r="M3" s="179">
        <v>25</v>
      </c>
      <c r="N3" s="180">
        <v>0.28000000000000003</v>
      </c>
    </row>
    <row r="4" spans="1:14" ht="15" thickBot="1" x14ac:dyDescent="0.45">
      <c r="A4" s="169" t="s">
        <v>367</v>
      </c>
      <c r="B4" s="170">
        <v>0.16402</v>
      </c>
      <c r="C4" s="169" t="s">
        <v>368</v>
      </c>
      <c r="D4" s="177">
        <v>0.15765999999999999</v>
      </c>
      <c r="E4" s="177">
        <v>0.17038600000000001</v>
      </c>
      <c r="F4" s="171">
        <f t="shared" si="0"/>
        <v>1.2726000000000015E-2</v>
      </c>
      <c r="G4" s="172">
        <v>6867980</v>
      </c>
      <c r="H4" s="172">
        <v>2458841</v>
      </c>
      <c r="I4" s="172" t="s">
        <v>369</v>
      </c>
      <c r="J4" s="172">
        <v>442080</v>
      </c>
      <c r="K4" s="172">
        <v>83729000</v>
      </c>
      <c r="L4" s="172" t="str">
        <f t="shared" si="1"/>
        <v>442.080 - 83.729.000</v>
      </c>
      <c r="M4" s="173">
        <v>70</v>
      </c>
      <c r="N4" s="174">
        <v>0.24</v>
      </c>
    </row>
    <row r="5" spans="1:14" ht="15" thickBot="1" x14ac:dyDescent="0.45">
      <c r="A5" s="175" t="s">
        <v>370</v>
      </c>
      <c r="B5" s="176">
        <v>0.15590709999999999</v>
      </c>
      <c r="C5" s="175" t="s">
        <v>368</v>
      </c>
      <c r="D5" s="177">
        <v>0.13855870000000001</v>
      </c>
      <c r="E5" s="177">
        <v>0.17325560000000001</v>
      </c>
      <c r="F5" s="171">
        <f t="shared" si="0"/>
        <v>3.4696900000000003E-2</v>
      </c>
      <c r="G5" s="178">
        <v>5789340</v>
      </c>
      <c r="H5" s="178">
        <v>579518.5</v>
      </c>
      <c r="I5" s="178" t="s">
        <v>369</v>
      </c>
      <c r="J5" s="178">
        <v>90000</v>
      </c>
      <c r="K5" s="178">
        <v>48767000</v>
      </c>
      <c r="L5" s="172" t="str">
        <f t="shared" si="1"/>
        <v>90.000 - 48.767.000</v>
      </c>
      <c r="M5" s="179">
        <v>14</v>
      </c>
      <c r="N5" s="180">
        <v>0.15</v>
      </c>
    </row>
    <row r="6" spans="1:14" ht="15" thickBot="1" x14ac:dyDescent="0.45">
      <c r="A6" s="169" t="s">
        <v>371</v>
      </c>
      <c r="B6" s="170">
        <v>0.15836349999999999</v>
      </c>
      <c r="C6" s="169" t="s">
        <v>368</v>
      </c>
      <c r="D6" s="177">
        <v>0.1448094</v>
      </c>
      <c r="E6" s="177">
        <v>0.1719176</v>
      </c>
      <c r="F6" s="171">
        <f t="shared" si="0"/>
        <v>2.7108199999999999E-2</v>
      </c>
      <c r="G6" s="172">
        <v>40116020</v>
      </c>
      <c r="H6" s="172">
        <v>3571000</v>
      </c>
      <c r="I6" s="172" t="s">
        <v>372</v>
      </c>
      <c r="J6" s="172">
        <v>215000</v>
      </c>
      <c r="K6" s="172">
        <v>750000000</v>
      </c>
      <c r="L6" s="172" t="str">
        <f t="shared" si="1"/>
        <v>215.000 - 750.000.000</v>
      </c>
      <c r="M6" s="173">
        <v>23</v>
      </c>
      <c r="N6" s="174">
        <v>0.09</v>
      </c>
    </row>
    <row r="7" spans="1:14" ht="15" thickBot="1" x14ac:dyDescent="0.45">
      <c r="A7" s="175" t="s">
        <v>373</v>
      </c>
      <c r="B7" s="176">
        <v>0.15166299999999999</v>
      </c>
      <c r="C7" s="175" t="s">
        <v>364</v>
      </c>
      <c r="D7" s="177">
        <v>0.14155010000000001</v>
      </c>
      <c r="E7" s="177">
        <v>0.1617759</v>
      </c>
      <c r="F7" s="171">
        <f t="shared" si="0"/>
        <v>2.0225799999999988E-2</v>
      </c>
      <c r="G7" s="178">
        <v>16204400</v>
      </c>
      <c r="H7" s="178">
        <v>3806500</v>
      </c>
      <c r="I7" s="178" t="s">
        <v>365</v>
      </c>
      <c r="J7" s="178">
        <v>233000</v>
      </c>
      <c r="K7" s="178">
        <v>180000000</v>
      </c>
      <c r="L7" s="172" t="str">
        <f t="shared" si="1"/>
        <v>233.000 - 180.000.000</v>
      </c>
      <c r="M7" s="179">
        <v>42</v>
      </c>
      <c r="N7" s="180">
        <v>0.26</v>
      </c>
    </row>
    <row r="8" spans="1:14" ht="15" thickBot="1" x14ac:dyDescent="0.45">
      <c r="A8" s="169" t="s">
        <v>374</v>
      </c>
      <c r="B8" s="170">
        <v>0.16731650000000001</v>
      </c>
      <c r="C8" s="169" t="s">
        <v>368</v>
      </c>
      <c r="D8" s="177">
        <v>0.14489099999999999</v>
      </c>
      <c r="E8" s="177">
        <v>0.1897421</v>
      </c>
      <c r="F8" s="171">
        <f t="shared" si="0"/>
        <v>4.4851100000000005E-2</v>
      </c>
      <c r="G8" s="172">
        <v>11109500</v>
      </c>
      <c r="H8" s="172">
        <v>1124000</v>
      </c>
      <c r="I8" s="172" t="s">
        <v>366</v>
      </c>
      <c r="J8" s="172">
        <v>55400</v>
      </c>
      <c r="K8" s="172">
        <v>109900000</v>
      </c>
      <c r="L8" s="172" t="str">
        <f t="shared" si="1"/>
        <v>55.400 - 109.900.000</v>
      </c>
      <c r="M8" s="173">
        <v>12</v>
      </c>
      <c r="N8" s="174">
        <v>0.17</v>
      </c>
    </row>
    <row r="9" spans="1:14" ht="15" thickBot="1" x14ac:dyDescent="0.45">
      <c r="A9" s="175" t="s">
        <v>375</v>
      </c>
      <c r="B9" s="176">
        <v>0.15088099999999999</v>
      </c>
      <c r="C9" s="175" t="s">
        <v>364</v>
      </c>
      <c r="D9" s="177">
        <v>0.1446249</v>
      </c>
      <c r="E9" s="177">
        <v>0.1571372</v>
      </c>
      <c r="F9" s="171">
        <f t="shared" si="0"/>
        <v>1.2512300000000004E-2</v>
      </c>
      <c r="G9" s="178">
        <v>14648120</v>
      </c>
      <c r="H9" s="178">
        <v>6896494.5</v>
      </c>
      <c r="I9" s="178" t="s">
        <v>365</v>
      </c>
      <c r="J9" s="178">
        <v>159000</v>
      </c>
      <c r="K9" s="178">
        <v>132732000</v>
      </c>
      <c r="L9" s="172" t="str">
        <f t="shared" si="1"/>
        <v>159.000 - 132.732.000</v>
      </c>
      <c r="M9" s="179">
        <v>74</v>
      </c>
      <c r="N9" s="180">
        <v>0.3</v>
      </c>
    </row>
    <row r="10" spans="1:14" ht="15" thickBot="1" x14ac:dyDescent="0.45">
      <c r="A10" s="169" t="s">
        <v>376</v>
      </c>
      <c r="B10" s="170">
        <v>0.18146780000000001</v>
      </c>
      <c r="C10" s="169" t="s">
        <v>364</v>
      </c>
      <c r="D10" s="177">
        <v>0.1723963</v>
      </c>
      <c r="E10" s="177">
        <v>0.19053929999999999</v>
      </c>
      <c r="F10" s="171">
        <f t="shared" si="0"/>
        <v>1.8142999999999992E-2</v>
      </c>
      <c r="G10" s="172">
        <v>5554040</v>
      </c>
      <c r="H10" s="172">
        <v>2785644</v>
      </c>
      <c r="I10" s="172" t="s">
        <v>369</v>
      </c>
      <c r="J10" s="172">
        <v>56960</v>
      </c>
      <c r="K10" s="172">
        <v>21706000</v>
      </c>
      <c r="L10" s="172" t="str">
        <f t="shared" si="1"/>
        <v>56.960 - 21.706.000</v>
      </c>
      <c r="M10" s="173">
        <v>47</v>
      </c>
      <c r="N10" s="174">
        <v>0.04</v>
      </c>
    </row>
    <row r="11" spans="1:14" ht="15" thickBot="1" x14ac:dyDescent="0.45">
      <c r="A11" s="175" t="s">
        <v>377</v>
      </c>
      <c r="B11" s="176">
        <v>0.16743839999999999</v>
      </c>
      <c r="C11" s="175" t="s">
        <v>368</v>
      </c>
      <c r="D11" s="177">
        <v>0.15000540000000001</v>
      </c>
      <c r="E11" s="177">
        <v>0.18487129999999999</v>
      </c>
      <c r="F11" s="171">
        <f t="shared" si="0"/>
        <v>3.4865899999999977E-2</v>
      </c>
      <c r="G11" s="178">
        <v>3263480</v>
      </c>
      <c r="H11" s="178">
        <v>1240500</v>
      </c>
      <c r="I11" s="178" t="s">
        <v>378</v>
      </c>
      <c r="J11" s="178">
        <v>527000</v>
      </c>
      <c r="K11" s="178">
        <v>10570000</v>
      </c>
      <c r="L11" s="172" t="str">
        <f t="shared" si="1"/>
        <v>527.000 - 10.570.000</v>
      </c>
      <c r="M11" s="179">
        <v>10</v>
      </c>
      <c r="N11" s="180">
        <v>0.1</v>
      </c>
    </row>
    <row r="12" spans="1:14" ht="15" thickBot="1" x14ac:dyDescent="0.45">
      <c r="A12" s="169" t="s">
        <v>379</v>
      </c>
      <c r="B12" s="170">
        <v>0.17094899999999999</v>
      </c>
      <c r="C12" s="169" t="s">
        <v>364</v>
      </c>
      <c r="D12" s="177">
        <v>0.16376489999999999</v>
      </c>
      <c r="E12" s="177">
        <v>0.17813309999999999</v>
      </c>
      <c r="F12" s="171">
        <f t="shared" si="0"/>
        <v>1.4368199999999998E-2</v>
      </c>
      <c r="G12" s="172">
        <v>4267360</v>
      </c>
      <c r="H12" s="172">
        <v>2664411</v>
      </c>
      <c r="I12" s="172" t="s">
        <v>378</v>
      </c>
      <c r="J12" s="172">
        <v>101870</v>
      </c>
      <c r="K12" s="172">
        <v>35992000</v>
      </c>
      <c r="L12" s="172" t="str">
        <f t="shared" si="1"/>
        <v>101.870 - 35.992.000</v>
      </c>
      <c r="M12" s="173">
        <v>53</v>
      </c>
      <c r="N12" s="174">
        <v>0.15</v>
      </c>
    </row>
    <row r="13" spans="1:14" ht="15" thickBot="1" x14ac:dyDescent="0.45">
      <c r="B13" s="177"/>
      <c r="C13" s="181"/>
      <c r="D13" s="177"/>
      <c r="E13" s="177"/>
      <c r="L13" s="172"/>
    </row>
    <row r="16" spans="1:14" x14ac:dyDescent="0.4">
      <c r="A16" t="s">
        <v>381</v>
      </c>
      <c r="B16" s="182">
        <v>0.16089999999999999</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3D38-2593-4E75-8A95-1F9069F7A4DD}">
  <sheetPr codeName="Blad13"/>
  <dimension ref="A1:K14"/>
  <sheetViews>
    <sheetView workbookViewId="0">
      <selection activeCell="E3" sqref="E3"/>
    </sheetView>
  </sheetViews>
  <sheetFormatPr defaultRowHeight="14.6" x14ac:dyDescent="0.4"/>
  <cols>
    <col min="2" max="2" width="10.84375" bestFit="1" customWidth="1"/>
    <col min="3" max="3" width="11.69140625" bestFit="1" customWidth="1"/>
    <col min="4" max="4" width="11.69140625" customWidth="1"/>
    <col min="5" max="5" width="18.3828125" bestFit="1" customWidth="1"/>
    <col min="6" max="6" width="13.15234375" bestFit="1" customWidth="1"/>
    <col min="7" max="8" width="13" customWidth="1"/>
  </cols>
  <sheetData>
    <row r="1" spans="1:11" ht="15" thickBot="1" x14ac:dyDescent="0.45">
      <c r="A1" s="183" t="s">
        <v>382</v>
      </c>
      <c r="B1" s="184" t="s">
        <v>292</v>
      </c>
      <c r="C1" s="184" t="s">
        <v>294</v>
      </c>
      <c r="D1" s="184" t="s">
        <v>383</v>
      </c>
      <c r="E1" s="184"/>
      <c r="F1" s="185" t="s">
        <v>350</v>
      </c>
      <c r="G1" s="296" t="s">
        <v>384</v>
      </c>
      <c r="H1" s="296"/>
    </row>
    <row r="2" spans="1:11" ht="15" thickBot="1" x14ac:dyDescent="0.45">
      <c r="A2" s="186" t="s">
        <v>385</v>
      </c>
      <c r="B2" s="186"/>
      <c r="C2" s="186"/>
      <c r="D2" s="187"/>
      <c r="E2" s="188" t="s">
        <v>386</v>
      </c>
      <c r="F2" s="186"/>
      <c r="G2" s="186"/>
      <c r="H2" s="186"/>
    </row>
    <row r="3" spans="1:11" ht="15" thickBot="1" x14ac:dyDescent="0.45">
      <c r="A3" s="189" t="s">
        <v>387</v>
      </c>
      <c r="B3" s="188">
        <v>55399</v>
      </c>
      <c r="C3" s="188">
        <v>566559.6</v>
      </c>
      <c r="D3" s="188">
        <v>343281.69230769231</v>
      </c>
      <c r="E3" s="188" t="str">
        <f>TEXT(B3,"#.##0") &amp; " - " &amp; TEXT(C3,"#.##0")</f>
        <v>55.399 - 566.560</v>
      </c>
      <c r="F3" s="190">
        <v>0.17710000000000001</v>
      </c>
      <c r="G3" s="191">
        <v>0.16800000000000001</v>
      </c>
      <c r="H3" s="191">
        <v>0.1862</v>
      </c>
    </row>
    <row r="4" spans="1:11" ht="15" thickBot="1" x14ac:dyDescent="0.45">
      <c r="A4" s="186" t="s">
        <v>388</v>
      </c>
      <c r="B4" s="192">
        <v>566559.6</v>
      </c>
      <c r="C4" s="192">
        <v>934800</v>
      </c>
      <c r="D4" s="192">
        <v>747771.4615384615</v>
      </c>
      <c r="E4" s="188" t="str">
        <f t="shared" ref="E4:E12" si="0">TEXT(B4,"#.##0") &amp; " - " &amp; TEXT(C4,"#.##0")</f>
        <v>566.560 - 934.800</v>
      </c>
      <c r="F4" s="193">
        <v>0.17230000000000001</v>
      </c>
      <c r="G4" s="194">
        <v>0.16370000000000001</v>
      </c>
      <c r="H4" s="194">
        <v>0.18099999999999999</v>
      </c>
    </row>
    <row r="5" spans="1:11" ht="15" thickBot="1" x14ac:dyDescent="0.45">
      <c r="A5" s="189" t="s">
        <v>389</v>
      </c>
      <c r="B5" s="188">
        <v>934800</v>
      </c>
      <c r="C5" s="188">
        <v>1501578.1</v>
      </c>
      <c r="D5" s="188">
        <v>1265758.923076923</v>
      </c>
      <c r="E5" s="188" t="str">
        <f t="shared" si="0"/>
        <v>934.800 - 1.501.578</v>
      </c>
      <c r="F5" s="190">
        <v>0.16869999999999999</v>
      </c>
      <c r="G5" s="195">
        <v>0.1605</v>
      </c>
      <c r="H5" s="195">
        <v>0.1769</v>
      </c>
    </row>
    <row r="6" spans="1:11" ht="15" thickBot="1" x14ac:dyDescent="0.45">
      <c r="A6" s="186" t="s">
        <v>390</v>
      </c>
      <c r="B6" s="192">
        <v>1501578.1</v>
      </c>
      <c r="C6" s="192">
        <v>2333200</v>
      </c>
      <c r="D6" s="192">
        <v>1893401.8421052631</v>
      </c>
      <c r="E6" s="188" t="str">
        <f t="shared" si="0"/>
        <v>1.501.578 - 2.333.200</v>
      </c>
      <c r="F6" s="193">
        <v>0.16700000000000001</v>
      </c>
      <c r="G6" s="194">
        <v>0.15920000000000001</v>
      </c>
      <c r="H6" s="194">
        <v>0.17480000000000001</v>
      </c>
    </row>
    <row r="7" spans="1:11" ht="15" thickBot="1" x14ac:dyDescent="0.45">
      <c r="A7" s="189" t="s">
        <v>391</v>
      </c>
      <c r="B7" s="188">
        <v>2333200</v>
      </c>
      <c r="C7" s="188">
        <v>3195500</v>
      </c>
      <c r="D7" s="188">
        <v>2687045.512820513</v>
      </c>
      <c r="E7" s="188" t="str">
        <f t="shared" si="0"/>
        <v>2.333.200 - 3.195.500</v>
      </c>
      <c r="F7" s="190">
        <v>0.16339999999999999</v>
      </c>
      <c r="G7" s="195">
        <v>0.155</v>
      </c>
      <c r="H7" s="195">
        <v>0.17180000000000001</v>
      </c>
    </row>
    <row r="8" spans="1:11" ht="15" thickBot="1" x14ac:dyDescent="0.45">
      <c r="A8" s="186" t="s">
        <v>378</v>
      </c>
      <c r="B8" s="192">
        <v>3195500</v>
      </c>
      <c r="C8" s="192">
        <v>4809600</v>
      </c>
      <c r="D8" s="192">
        <v>4030880.2564102565</v>
      </c>
      <c r="E8" s="188" t="str">
        <f t="shared" si="0"/>
        <v>3.195.500 - 4.809.600</v>
      </c>
      <c r="F8" s="193">
        <v>0.16109999999999999</v>
      </c>
      <c r="G8" s="194">
        <v>0.15290000000000001</v>
      </c>
      <c r="H8" s="194">
        <v>0.16930000000000001</v>
      </c>
    </row>
    <row r="9" spans="1:11" ht="15" thickBot="1" x14ac:dyDescent="0.45">
      <c r="A9" s="189" t="s">
        <v>369</v>
      </c>
      <c r="B9" s="188">
        <v>4809600</v>
      </c>
      <c r="C9" s="188">
        <v>7594696.7000000002</v>
      </c>
      <c r="D9" s="188">
        <v>5836905.7368421052</v>
      </c>
      <c r="E9" s="188" t="str">
        <f t="shared" si="0"/>
        <v>4.809.600 - 7.594.697</v>
      </c>
      <c r="F9" s="190">
        <v>0.16209999999999999</v>
      </c>
      <c r="G9" s="195">
        <v>0.1542</v>
      </c>
      <c r="H9" s="195">
        <v>0.17</v>
      </c>
      <c r="K9" s="182"/>
    </row>
    <row r="10" spans="1:11" ht="15" thickBot="1" x14ac:dyDescent="0.45">
      <c r="A10" s="186" t="s">
        <v>366</v>
      </c>
      <c r="B10" s="192">
        <v>7594696.7000000002</v>
      </c>
      <c r="C10" s="192">
        <v>11811400</v>
      </c>
      <c r="D10" s="192">
        <v>9510183.41025641</v>
      </c>
      <c r="E10" s="188" t="str">
        <f t="shared" si="0"/>
        <v>7.594.697 - 11.811.400</v>
      </c>
      <c r="F10" s="193">
        <v>0.15840000000000001</v>
      </c>
      <c r="G10" s="194">
        <v>0.1472</v>
      </c>
      <c r="H10" s="194">
        <v>0.1696</v>
      </c>
    </row>
    <row r="11" spans="1:11" ht="15" thickBot="1" x14ac:dyDescent="0.45">
      <c r="A11" s="189" t="s">
        <v>365</v>
      </c>
      <c r="B11" s="188">
        <v>11811400</v>
      </c>
      <c r="C11" s="188">
        <v>23677300</v>
      </c>
      <c r="D11" s="188">
        <v>16873409.948717948</v>
      </c>
      <c r="E11" s="188" t="str">
        <f t="shared" si="0"/>
        <v>11.811.400 - 23.677.300</v>
      </c>
      <c r="F11" s="190">
        <v>0.1416</v>
      </c>
      <c r="G11" s="195">
        <v>0.13389999999999999</v>
      </c>
      <c r="H11" s="195">
        <v>0.14940000000000001</v>
      </c>
    </row>
    <row r="12" spans="1:11" ht="15" thickBot="1" x14ac:dyDescent="0.45">
      <c r="A12" s="186" t="s">
        <v>372</v>
      </c>
      <c r="B12" s="192">
        <v>23677300</v>
      </c>
      <c r="C12" s="192">
        <v>750000000</v>
      </c>
      <c r="D12" s="192">
        <v>72341246.205128208</v>
      </c>
      <c r="E12" s="188" t="str">
        <f t="shared" si="0"/>
        <v>23.677.300 - 750.000.000</v>
      </c>
      <c r="F12" s="193">
        <v>0.13750000000000001</v>
      </c>
      <c r="G12" s="194">
        <v>0.1273</v>
      </c>
      <c r="H12" s="194">
        <v>0.1477</v>
      </c>
    </row>
    <row r="14" spans="1:11" x14ac:dyDescent="0.4">
      <c r="F14" s="182"/>
    </row>
  </sheetData>
  <sheetProtection sheet="1" objects="1" scenarios="1"/>
  <mergeCells count="1">
    <mergeCell ref="G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8883-1A74-49D9-A662-3934E2106217}">
  <sheetPr codeName="Blad14"/>
  <dimension ref="A1:B4"/>
  <sheetViews>
    <sheetView workbookViewId="0">
      <selection activeCell="L26" sqref="L26"/>
    </sheetView>
  </sheetViews>
  <sheetFormatPr defaultRowHeight="14.6" x14ac:dyDescent="0.4"/>
  <cols>
    <col min="1" max="1" width="41" bestFit="1" customWidth="1"/>
  </cols>
  <sheetData>
    <row r="1" spans="1:2" x14ac:dyDescent="0.4">
      <c r="A1" t="s">
        <v>392</v>
      </c>
      <c r="B1" t="s">
        <v>393</v>
      </c>
    </row>
    <row r="2" spans="1:2" x14ac:dyDescent="0.4">
      <c r="A2" t="s">
        <v>287</v>
      </c>
      <c r="B2">
        <v>-1.5899999999999997E-2</v>
      </c>
    </row>
    <row r="3" spans="1:2" x14ac:dyDescent="0.4">
      <c r="A3" t="s">
        <v>290</v>
      </c>
      <c r="B3">
        <v>3.9000000000000146E-3</v>
      </c>
    </row>
    <row r="4" spans="1:2" x14ac:dyDescent="0.4">
      <c r="A4" t="s">
        <v>380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EFC1CE25C1704487E95655DB996CA0" ma:contentTypeVersion="7" ma:contentTypeDescription="Create a new document." ma:contentTypeScope="" ma:versionID="5a531ea94acbfbf572589ff4873326f5">
  <xsd:schema xmlns:xsd="http://www.w3.org/2001/XMLSchema" xmlns:xs="http://www.w3.org/2001/XMLSchema" xmlns:p="http://schemas.microsoft.com/office/2006/metadata/properties" xmlns:ns2="e24e4495-212a-42a2-be71-36f342494346" targetNamespace="http://schemas.microsoft.com/office/2006/metadata/properties" ma:root="true" ma:fieldsID="44cec4d47b683ade35c56cd5178360d0" ns2:_="">
    <xsd:import namespace="e24e4495-212a-42a2-be71-36f34249434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e4495-212a-42a2-be71-36f342494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D28369-5AD0-4DC0-8121-966C8F067476}">
  <ds:schemaRefs>
    <ds:schemaRef ds:uri="http://schemas.microsoft.com/sharepoint/v3/contenttype/forms"/>
  </ds:schemaRefs>
</ds:datastoreItem>
</file>

<file path=customXml/itemProps2.xml><?xml version="1.0" encoding="utf-8"?>
<ds:datastoreItem xmlns:ds="http://schemas.openxmlformats.org/officeDocument/2006/customXml" ds:itemID="{C3C59AA5-9FAC-423F-918E-31447625B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4e4495-212a-42a2-be71-36f342494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89540-D601-478A-88E7-839FDD9818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Uitleg</vt:lpstr>
      <vt:lpstr>Invoer algemeen en balans</vt:lpstr>
      <vt:lpstr>Invoer exploitatie</vt:lpstr>
      <vt:lpstr>Vrije kasstroom</vt:lpstr>
      <vt:lpstr>Rendementseis  - Keu Referentie</vt:lpstr>
      <vt:lpstr>Rendementseis - Build-up</vt:lpstr>
      <vt:lpstr>Illiq-opslag</vt:lpstr>
      <vt:lpstr>DCFM</vt:lpstr>
      <vt:lpstr>APV</vt:lpstr>
      <vt:lpstr>Financiering</vt:lpstr>
      <vt:lpstr>Activadeal</vt:lpstr>
      <vt:lpstr>Afkap rw</vt:lpstr>
      <vt:lpstr>Activadeal!Afdrukbereik</vt:lpstr>
      <vt:lpstr>'Afkap rw'!Afdrukbereik</vt:lpstr>
      <vt:lpstr>APV!Afdrukbereik</vt:lpstr>
      <vt:lpstr>DCFM!Afdrukbereik</vt:lpstr>
      <vt:lpstr>Financiering!Afdrukbereik</vt:lpstr>
      <vt:lpstr>'Invoer algemeen en balans'!Afdrukbereik</vt:lpstr>
      <vt:lpstr>'Invoer exploitatie'!Afdrukbereik</vt:lpstr>
      <vt:lpstr>'Rendementseis  - Keu Referentie'!Afdrukbereik</vt:lpstr>
      <vt:lpstr>'Vrije kasstroom'!Afdrukbereik</vt:lpstr>
      <vt:lpstr>Financiering!Afdruktitels</vt:lpstr>
      <vt:lpstr>'Invoer exploitatie'!Afdruktitels</vt:lpstr>
      <vt:lpstr>'Invoer algemeen en balans'!inflatie</vt:lpstr>
      <vt:lpstr>KeuBuildUp</vt:lpstr>
      <vt:lpstr>KeuReferentie</vt:lpstr>
      <vt:lpstr>WACCBuildUpRest</vt:lpstr>
      <vt:lpstr>WACCBuildUpScen</vt:lpstr>
      <vt:lpstr>WACCReferentieRest</vt:lpstr>
      <vt:lpstr>WACCReferentieScen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Meijer/MFAS</dc:creator>
  <cp:keywords/>
  <dc:description/>
  <cp:lastModifiedBy>Jelle Leeuwerke</cp:lastModifiedBy>
  <cp:revision/>
  <dcterms:created xsi:type="dcterms:W3CDTF">2016-12-16T13:32:16Z</dcterms:created>
  <dcterms:modified xsi:type="dcterms:W3CDTF">2026-06-25T08:10:15Z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0x010100DCEFC1CE25C1704487E95655DB996CA0</vt:lpwstr>
  </property>
</Properties>
</file>